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54619\Documents\S12ZVM\Power Calculator\"/>
    </mc:Choice>
  </mc:AlternateContent>
  <bookViews>
    <workbookView xWindow="-4620" yWindow="0" windowWidth="4620" windowHeight="0"/>
  </bookViews>
  <sheets>
    <sheet name="Introduction" sheetId="2" r:id="rId1"/>
    <sheet name="Power Calculator" sheetId="1" r:id="rId2"/>
    <sheet name="S12CANPHY Electrical Specs" sheetId="3" r:id="rId3"/>
  </sheets>
  <calcPr calcId="171027"/>
</workbook>
</file>

<file path=xl/calcChain.xml><?xml version="1.0" encoding="utf-8"?>
<calcChain xmlns="http://schemas.openxmlformats.org/spreadsheetml/2006/main">
  <c r="K22" i="1" l="1"/>
  <c r="K17" i="1"/>
  <c r="Q13" i="1" l="1"/>
  <c r="Q14" i="1" l="1"/>
  <c r="G35" i="1" l="1"/>
  <c r="N34" i="1"/>
  <c r="Q19" i="1" l="1"/>
  <c r="N24" i="1"/>
  <c r="E26" i="3" l="1"/>
  <c r="D26" i="3"/>
  <c r="C26" i="3"/>
  <c r="E25" i="3"/>
  <c r="D25" i="3"/>
  <c r="C25" i="3"/>
  <c r="AF25" i="1"/>
  <c r="AF24" i="1"/>
  <c r="AF33" i="1" l="1"/>
  <c r="AF38" i="1" s="1"/>
  <c r="AF32" i="1"/>
  <c r="AF37" i="1" s="1"/>
  <c r="AF21" i="1" l="1"/>
  <c r="AF22" i="1" l="1"/>
  <c r="AF39" i="1" s="1"/>
  <c r="AC26" i="1"/>
  <c r="AC40" i="1" s="1"/>
  <c r="AC24" i="1"/>
  <c r="AC39" i="1" s="1"/>
  <c r="AC43" i="1" s="1"/>
  <c r="AF26" i="1" l="1"/>
  <c r="AF27" i="1" s="1"/>
  <c r="AF34" i="1"/>
  <c r="C17" i="1"/>
  <c r="AF46" i="1" l="1"/>
  <c r="AF35" i="1"/>
  <c r="AF40" i="1" s="1"/>
  <c r="Q23" i="1"/>
  <c r="Q24" i="1" l="1"/>
  <c r="Q27" i="1"/>
  <c r="Q28" i="1" s="1"/>
  <c r="Q29" i="1" l="1"/>
  <c r="N27" i="1" l="1"/>
  <c r="Q34" i="1"/>
  <c r="Q36" i="1" l="1"/>
  <c r="N35" i="1"/>
  <c r="N36" i="1" s="1"/>
  <c r="Q35" i="1" s="1"/>
  <c r="T19" i="1" l="1"/>
  <c r="T26" i="1" s="1"/>
  <c r="Q38" i="1" l="1"/>
  <c r="Q37" i="1" l="1"/>
  <c r="W28" i="1"/>
  <c r="W29" i="1"/>
  <c r="N19" i="1" l="1"/>
  <c r="G17" i="1"/>
  <c r="N12" i="1" l="1"/>
  <c r="W13" i="1" s="1"/>
  <c r="W31" i="1" s="1"/>
  <c r="G40" i="1"/>
  <c r="AF13" i="1"/>
  <c r="AF47" i="1" s="1"/>
  <c r="AC13" i="1"/>
  <c r="G28" i="1"/>
  <c r="N37" i="1"/>
  <c r="K21" i="1"/>
  <c r="K23" i="1" s="1"/>
  <c r="K27" i="1" s="1"/>
  <c r="C12" i="1" l="1"/>
  <c r="AF17" i="1"/>
  <c r="AF43" i="1" s="1"/>
  <c r="T43" i="1"/>
  <c r="C14" i="1" s="1"/>
  <c r="C18" i="1" l="1"/>
  <c r="G18" i="1"/>
  <c r="Q20" i="1" s="1"/>
  <c r="Z13" i="1"/>
  <c r="W15" i="1"/>
  <c r="N16" i="1"/>
  <c r="K16" i="1"/>
  <c r="K43" i="1" s="1"/>
  <c r="C10" i="1" s="1"/>
  <c r="Z34" i="1" l="1"/>
  <c r="Z18" i="1"/>
  <c r="Z21" i="1" s="1"/>
  <c r="Z24" i="1"/>
  <c r="Z27" i="1" s="1"/>
  <c r="Q30" i="1"/>
  <c r="N30" i="1"/>
  <c r="N17" i="1"/>
  <c r="N20" i="1" s="1"/>
  <c r="N40" i="1"/>
  <c r="Q39" i="1" s="1"/>
  <c r="Q41" i="1" s="1"/>
  <c r="G19" i="1"/>
  <c r="G22" i="1" s="1"/>
  <c r="G43" i="1" s="1"/>
  <c r="C11" i="1" s="1"/>
  <c r="T16" i="1" l="1"/>
  <c r="W18" i="1"/>
  <c r="N41" i="1"/>
  <c r="Z29" i="1"/>
  <c r="Z43" i="1" l="1"/>
  <c r="C16" i="1" s="1"/>
  <c r="N31" i="1"/>
  <c r="N43" i="1" s="1"/>
  <c r="T17" i="1"/>
  <c r="W17" i="1" l="1"/>
  <c r="W19" i="1" s="1"/>
  <c r="W22" i="1" l="1"/>
  <c r="W23" i="1" s="1"/>
  <c r="C13" i="1"/>
  <c r="W39" i="1" l="1"/>
  <c r="W38" i="1" l="1"/>
  <c r="W40" i="1" s="1"/>
  <c r="W32" i="1"/>
  <c r="W33" i="1"/>
  <c r="W35" i="1"/>
  <c r="W43" i="1" l="1"/>
  <c r="C15" i="1" s="1"/>
  <c r="C19" i="1" s="1"/>
  <c r="C37" i="1" l="1"/>
  <c r="C40" i="1"/>
</calcChain>
</file>

<file path=xl/comments1.xml><?xml version="1.0" encoding="utf-8"?>
<comments xmlns="http://schemas.openxmlformats.org/spreadsheetml/2006/main">
  <authors>
    <author>Michael Pochmann</author>
    <author>Anita Maliverney</author>
  </authors>
  <commentList>
    <comment ref="S13" authorId="0" shapeId="0">
      <text>
        <r>
          <rPr>
            <b/>
            <sz val="9"/>
            <color indexed="81"/>
            <rFont val="Tahoma"/>
            <family val="2"/>
          </rPr>
          <t>Select how many phases are driven by the CP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1" shapeId="0">
      <text>
        <r>
          <rPr>
            <sz val="9"/>
            <color indexed="81"/>
            <rFont val="Tahoma"/>
            <family val="2"/>
          </rPr>
          <t>This current is the frequency independent current supplied by VDDX over lifetime and temperature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 xml:space="preserve">external load current on IOs like for sensor supply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Total Gate Charge of a single MOSFET</t>
        </r>
      </text>
    </comment>
    <comment ref="M34" authorId="1" shapeId="0">
      <text>
        <r>
          <rPr>
            <b/>
            <sz val="9"/>
            <color indexed="81"/>
            <rFont val="Tahoma"/>
            <family val="2"/>
          </rPr>
          <t>current of a driver in switched-on state</t>
        </r>
      </text>
    </comment>
    <comment ref="M35" authorId="1" shapeId="0">
      <text>
        <r>
          <rPr>
            <b/>
            <sz val="9"/>
            <color indexed="81"/>
            <rFont val="Tahoma"/>
            <family val="2"/>
          </rPr>
          <t>current of a driver in switched-off state</t>
        </r>
      </text>
    </comment>
  </commentList>
</comments>
</file>

<file path=xl/sharedStrings.xml><?xml version="1.0" encoding="utf-8"?>
<sst xmlns="http://schemas.openxmlformats.org/spreadsheetml/2006/main" count="535" uniqueCount="361">
  <si>
    <t>Vbat</t>
  </si>
  <si>
    <t xml:space="preserve">Power Supply </t>
  </si>
  <si>
    <t>MHz</t>
  </si>
  <si>
    <t>V</t>
  </si>
  <si>
    <t>mA</t>
  </si>
  <si>
    <t>Vsup</t>
  </si>
  <si>
    <t>nC</t>
  </si>
  <si>
    <t>KHz</t>
  </si>
  <si>
    <t>mW</t>
  </si>
  <si>
    <t>kHz</t>
  </si>
  <si>
    <t>µA</t>
  </si>
  <si>
    <t xml:space="preserve">T ambient C° </t>
  </si>
  <si>
    <t>°C/W</t>
  </si>
  <si>
    <t>°C</t>
  </si>
  <si>
    <t>%</t>
  </si>
  <si>
    <t>µs</t>
  </si>
  <si>
    <t>µH</t>
  </si>
  <si>
    <t xml:space="preserve">mA </t>
  </si>
  <si>
    <t xml:space="preserve">V_out </t>
  </si>
  <si>
    <t>V_drop</t>
  </si>
  <si>
    <t>Charge Pump</t>
  </si>
  <si>
    <t>Ohm</t>
  </si>
  <si>
    <t>V_drop--&gt;circuit protection</t>
  </si>
  <si>
    <t>Summary:  Total Power Dissipation</t>
  </si>
  <si>
    <t>V_sup</t>
  </si>
  <si>
    <t>V_lin_sup</t>
  </si>
  <si>
    <t xml:space="preserve">on Vddx </t>
  </si>
  <si>
    <t>on Vdd</t>
  </si>
  <si>
    <t xml:space="preserve">on V-lin_sup </t>
  </si>
  <si>
    <t>mw</t>
  </si>
  <si>
    <t>Pv_dom</t>
  </si>
  <si>
    <t xml:space="preserve">mW </t>
  </si>
  <si>
    <t>on V_lin_sup</t>
  </si>
  <si>
    <t>Pv_rez</t>
  </si>
  <si>
    <t>Rth total</t>
  </si>
  <si>
    <t>KBaud</t>
  </si>
  <si>
    <t>mW/V</t>
  </si>
  <si>
    <t xml:space="preserve">Boost Converter </t>
  </si>
  <si>
    <t>LIN Transceiver</t>
  </si>
  <si>
    <t xml:space="preserve">Digital Logic </t>
  </si>
  <si>
    <t xml:space="preserve">Power Dissipation </t>
  </si>
  <si>
    <t>Temperature</t>
  </si>
  <si>
    <r>
      <rPr>
        <b/>
        <i/>
        <sz val="11"/>
        <color theme="1"/>
        <rFont val="Calibri"/>
        <family val="2"/>
      </rPr>
      <t>❶</t>
    </r>
    <r>
      <rPr>
        <b/>
        <i/>
        <sz val="11"/>
        <color theme="0" tint="-0.499984740745262"/>
        <rFont val="Calibri"/>
        <family val="2"/>
      </rPr>
      <t xml:space="preserve">Low Drop Out voltage regulator                                              </t>
    </r>
  </si>
  <si>
    <t>pair</t>
  </si>
  <si>
    <t>Charge Pump in use ?</t>
  </si>
  <si>
    <t>Number of high side drivers ?</t>
  </si>
  <si>
    <t xml:space="preserve">Boost-Converter in use ? </t>
  </si>
  <si>
    <t xml:space="preserve">Input parameters possible if </t>
  </si>
  <si>
    <t xml:space="preserve">Duty cycle </t>
  </si>
  <si>
    <t>Pv_Lin_static</t>
  </si>
  <si>
    <t xml:space="preserve">Data rate </t>
  </si>
  <si>
    <t xml:space="preserve">Base current </t>
  </si>
  <si>
    <t xml:space="preserve">static part </t>
  </si>
  <si>
    <t xml:space="preserve">dynamic part </t>
  </si>
  <si>
    <t xml:space="preserve">Pv_Lin_dynamic  </t>
  </si>
  <si>
    <t xml:space="preserve">power loss factor </t>
  </si>
  <si>
    <t>Pv_recessive state</t>
  </si>
  <si>
    <t xml:space="preserve">Pv_ dominant state </t>
  </si>
  <si>
    <t xml:space="preserve">Unit </t>
  </si>
  <si>
    <t>Unit</t>
  </si>
  <si>
    <t xml:space="preserve">S12ZVM Power Dissipation Calculator </t>
  </si>
  <si>
    <t>pcs.</t>
  </si>
  <si>
    <t>Pole pairs</t>
  </si>
  <si>
    <t>V_reg intern ?</t>
  </si>
  <si>
    <t xml:space="preserve">T Junction </t>
  </si>
  <si>
    <t>dynamic</t>
  </si>
  <si>
    <t>static</t>
  </si>
  <si>
    <t>TJ = TA + (PD • ΘJA)</t>
  </si>
  <si>
    <t>TJ = Junction Temperature, [°C]</t>
  </si>
  <si>
    <t>TA = Ambient Temperature, [°C]</t>
  </si>
  <si>
    <t>PD = Total Chip Power Dissipation, [W]</t>
  </si>
  <si>
    <t>ΘJA = Package Thermal Resistance, [°C/W]</t>
  </si>
  <si>
    <t>with:</t>
  </si>
  <si>
    <t xml:space="preserve">This calculator helps to understand if the application uses the S12ZVM within the allowed die temperature limit . </t>
  </si>
  <si>
    <t>The yellow fields are user entry fields.</t>
  </si>
  <si>
    <t>Please select following conditions and enter it into the yellow fields accordingly</t>
  </si>
  <si>
    <t xml:space="preserve">The total power dissipation PD can be calculated from the equation below. </t>
  </si>
  <si>
    <t>Voltage regulator Parameters:</t>
  </si>
  <si>
    <t>- Vreg intern/extern: selection if external bypass transistor used to dissipate current of 5V supply load externally (option Vreg extern)</t>
  </si>
  <si>
    <t>- Vdrop: Voltage drop on the reverse polarity protection device</t>
  </si>
  <si>
    <r>
      <t>PD = P</t>
    </r>
    <r>
      <rPr>
        <vertAlign val="subscript"/>
        <sz val="11"/>
        <color theme="1"/>
        <rFont val="Calibri"/>
        <family val="2"/>
        <scheme val="minor"/>
      </rPr>
      <t>Vreg</t>
    </r>
    <r>
      <rPr>
        <sz val="11"/>
        <color theme="1"/>
        <rFont val="Calibri"/>
        <family val="2"/>
        <scheme val="minor"/>
      </rPr>
      <t xml:space="preserve"> + P</t>
    </r>
    <r>
      <rPr>
        <vertAlign val="subscript"/>
        <sz val="11"/>
        <color theme="1"/>
        <rFont val="Calibri"/>
        <family val="2"/>
        <scheme val="minor"/>
      </rPr>
      <t>GDU</t>
    </r>
    <r>
      <rPr>
        <sz val="11"/>
        <color theme="1"/>
        <rFont val="Calibri"/>
        <family val="2"/>
        <scheme val="minor"/>
      </rPr>
      <t xml:space="preserve"> + P</t>
    </r>
    <r>
      <rPr>
        <vertAlign val="subscript"/>
        <sz val="11"/>
        <color theme="1"/>
        <rFont val="Calibri"/>
        <family val="2"/>
        <scheme val="minor"/>
      </rPr>
      <t>CP</t>
    </r>
    <r>
      <rPr>
        <sz val="11"/>
        <color theme="1"/>
        <rFont val="Calibri"/>
        <family val="2"/>
        <scheme val="minor"/>
      </rPr>
      <t xml:space="preserve"> + P</t>
    </r>
    <r>
      <rPr>
        <vertAlign val="subscript"/>
        <sz val="11"/>
        <color theme="1"/>
        <rFont val="Calibri"/>
        <family val="2"/>
        <scheme val="minor"/>
      </rPr>
      <t>Boost</t>
    </r>
    <r>
      <rPr>
        <sz val="11"/>
        <color theme="1"/>
        <rFont val="Calibri"/>
        <family val="2"/>
        <scheme val="minor"/>
      </rPr>
      <t xml:space="preserve"> + P</t>
    </r>
    <r>
      <rPr>
        <vertAlign val="subscript"/>
        <sz val="11"/>
        <color theme="1"/>
        <rFont val="Calibri"/>
        <family val="2"/>
        <scheme val="minor"/>
      </rPr>
      <t>LIN</t>
    </r>
  </si>
  <si>
    <t>- Base current: if external bypass transistor used, then Base current has to be specified</t>
  </si>
  <si>
    <t>Digital logic Parameters:</t>
  </si>
  <si>
    <t>- I_external : external load current on IOs like for sensor supply</t>
  </si>
  <si>
    <t>- f_clk : select the bus frequency (max. 50MHz)</t>
  </si>
  <si>
    <t>Gate Drive Unit Parameters:</t>
  </si>
  <si>
    <t>- f_PWM: switching frequency of the MOSFETs</t>
  </si>
  <si>
    <t>- Total gate Charge: parameter of the selected MOSFETs</t>
  </si>
  <si>
    <t>- motor speed mechanical: max. motor speed, which influences the switching frequency of the 4 slower switching MOSFETs when using block commutation</t>
  </si>
  <si>
    <t xml:space="preserve">- pole pairs: number of permanent magnet pole pairs of the motor </t>
  </si>
  <si>
    <t xml:space="preserve">Power dissipation and thermal characteristics are closely related. The user must assure that the maximum operating junction temperature is not exceeded. </t>
  </si>
  <si>
    <t>The average chip-junction temperature (TJ) in °C can be obtained from:</t>
  </si>
  <si>
    <t>Charge Pump Parameters:</t>
  </si>
  <si>
    <t>- Charge Pump use : select if application uses charge pump to support 100% duty cycle and reverse polarity protection MOSFET gate drive .</t>
  </si>
  <si>
    <t>Boost Converter Parameters:</t>
  </si>
  <si>
    <t>- Boost Converter use : select if application uses boost converter to support motor drive down to 3.5V Vbat</t>
  </si>
  <si>
    <t>- Boost frequency : select switching frequency of MOSFET in boost converter (from f_bus/512 to f_bus/4 )</t>
  </si>
  <si>
    <t>- Boost frequency duty cycle : select duty cycle of the MOSFET switching frequency in boost converter (24%, 50% or 75% )</t>
  </si>
  <si>
    <t>- Boost Incuctance : size of external coil. The smaller the value, the higher the coil current and the power dissipation in the Boost Converter</t>
  </si>
  <si>
    <t>LIN Parameters:</t>
  </si>
  <si>
    <t>- LIN transceiver use : select if application uses LIN transceiver in the device (also needs to be enabled if transceiever used for PWM protocol)</t>
  </si>
  <si>
    <t>Temperature:</t>
  </si>
  <si>
    <t>- Ambient temperature : selects the ambient temperature of the S12ZVM device</t>
  </si>
  <si>
    <t>Thermal resistance</t>
  </si>
  <si>
    <t>- Rth total : selects the thermal resistance between the board and the die</t>
  </si>
  <si>
    <t>If the field is green your setup is within the specification limit of 175°C max. die temperature. If it is red, your resulting chip temperature is above 175°C.</t>
  </si>
  <si>
    <t>The traffic light in the field gives you a yellow warning if within the 10% range of the max. limit</t>
  </si>
  <si>
    <t>Step 1 - Parameter Entry</t>
  </si>
  <si>
    <t>Step 2 - Result verification</t>
  </si>
  <si>
    <t>Step 3 - System Optimization</t>
  </si>
  <si>
    <t>If the field shows a spec violation. Or in case you select a lower temperature variant and the result exceeds the max. temperature of this variant step 3 is needed (for example 125°C for the M-temp option)</t>
  </si>
  <si>
    <t>- reduction of the bus frequency</t>
  </si>
  <si>
    <t>Check possible optimizations in your system. This can be for example:</t>
  </si>
  <si>
    <t>- reduction of the thermal resistance (optimization of board layout)</t>
  </si>
  <si>
    <t>- Boost converter settings (coil, frequency, duty cycle)</t>
  </si>
  <si>
    <t>- commutation algorithm</t>
  </si>
  <si>
    <r>
      <t>P</t>
    </r>
    <r>
      <rPr>
        <vertAlign val="subscript"/>
        <sz val="9"/>
        <color theme="1"/>
        <rFont val="Calibri"/>
        <family val="2"/>
        <scheme val="minor"/>
      </rPr>
      <t>Vreg</t>
    </r>
    <r>
      <rPr>
        <sz val="9"/>
        <color theme="1"/>
        <rFont val="Calibri"/>
        <family val="2"/>
        <scheme val="minor"/>
      </rPr>
      <t xml:space="preserve"> = Power Dissipation in the Main Voltage Regulator, [W]</t>
    </r>
  </si>
  <si>
    <r>
      <t>P</t>
    </r>
    <r>
      <rPr>
        <vertAlign val="subscript"/>
        <sz val="9"/>
        <color theme="1"/>
        <rFont val="Calibri"/>
        <family val="2"/>
        <scheme val="minor"/>
      </rPr>
      <t>GDU</t>
    </r>
    <r>
      <rPr>
        <sz val="9"/>
        <color theme="1"/>
        <rFont val="Calibri"/>
        <family val="2"/>
        <scheme val="minor"/>
      </rPr>
      <t xml:space="preserve"> = Power Dissipation in the Gate Drive Unit, [W]</t>
    </r>
  </si>
  <si>
    <r>
      <t>P</t>
    </r>
    <r>
      <rPr>
        <vertAlign val="subscript"/>
        <sz val="9"/>
        <color theme="1"/>
        <rFont val="Calibri"/>
        <family val="2"/>
        <scheme val="minor"/>
      </rPr>
      <t>CP</t>
    </r>
    <r>
      <rPr>
        <sz val="9"/>
        <color theme="1"/>
        <rFont val="Calibri"/>
        <family val="2"/>
        <scheme val="minor"/>
      </rPr>
      <t xml:space="preserve"> = Power Dissipation in the Charge Pump, [W]</t>
    </r>
  </si>
  <si>
    <r>
      <t>P</t>
    </r>
    <r>
      <rPr>
        <vertAlign val="subscript"/>
        <sz val="9"/>
        <color theme="1"/>
        <rFont val="Calibri"/>
        <family val="2"/>
        <scheme val="minor"/>
      </rPr>
      <t>Boost</t>
    </r>
    <r>
      <rPr>
        <sz val="9"/>
        <color theme="1"/>
        <rFont val="Calibri"/>
        <family val="2"/>
        <scheme val="minor"/>
      </rPr>
      <t xml:space="preserve"> = Power Dissipation in the Boost Converter, [W]</t>
    </r>
  </si>
  <si>
    <t xml:space="preserve">Max Rth total </t>
  </si>
  <si>
    <t>The shown value max Rth total in cell C43 give you a guideline, which Rth is needed to meet the max. Tj limit.</t>
  </si>
  <si>
    <t>(2 MOSFETs with full PWM frequency, 4 others with low frequency given by the max. motor speed)</t>
  </si>
  <si>
    <t>Check the resulting Tj field (C41). Check it for different Vbat entry values, especially also select a value &lt;10.8V Vsup to test the Boost converter influence, if Boost mode used.</t>
  </si>
  <si>
    <t xml:space="preserve"> In case you are much below the Tj limit, you may be able to reduce the board space and can increase the Rth value up to the proposed value.</t>
  </si>
  <si>
    <t xml:space="preserve"> In case you are above the Tj limit, this field gives you a guideline up to which Rth you would need to optimize your board layout if all other system parameters stay the same.</t>
  </si>
  <si>
    <t>It also helps to understand under which application conditions  the user could use a more cost optimized, lower temperature tested device option.</t>
  </si>
  <si>
    <t>There are several contributors to the total power dissipation of the S12ZVM device.</t>
  </si>
  <si>
    <r>
      <t>P</t>
    </r>
    <r>
      <rPr>
        <vertAlign val="subscript"/>
        <sz val="9"/>
        <color theme="1"/>
        <rFont val="Calibri"/>
        <family val="2"/>
        <scheme val="minor"/>
      </rPr>
      <t>Lin</t>
    </r>
    <r>
      <rPr>
        <sz val="9"/>
        <color theme="1"/>
        <rFont val="Calibri"/>
        <family val="2"/>
        <scheme val="minor"/>
      </rPr>
      <t xml:space="preserve"> = Power Dissipation in the LIN Transceiver, [W]</t>
    </r>
  </si>
  <si>
    <t>- switching algorithm : select between sinusoidal commutation , which switches all 6 MOSFETs with given PWM frequency, or block commutation, which switches only two phases at a time.</t>
  </si>
  <si>
    <t>- nbr. of high side drivers : select how many phases are driven by the CP</t>
  </si>
  <si>
    <t>Introduction</t>
  </si>
  <si>
    <t>This calculator does not provide that level of detail, but is intended to do some basic analysis.</t>
  </si>
  <si>
    <t>Dynamic behaviour (thermal impedance rather than thermal resistance) could also play a role here.</t>
  </si>
  <si>
    <t>Thermal analyses are difficult to perform and would require sophisticated methods, e.g. measurements or simulations.</t>
  </si>
  <si>
    <t>and their interactions/coupling, as shown as an example in the thermal equivalent circuit diagram: figure 1.</t>
  </si>
  <si>
    <t>For exact modeling, the thermal model should include the IC and its housing, PCB board, ECU housing, other components on the PCB board,</t>
  </si>
  <si>
    <t xml:space="preserve">A required thermal resistance Rthja (junction ambient) for the IC can be calculated based on application/ambient conditions and reference manual data. </t>
  </si>
  <si>
    <t xml:space="preserve">These show examples of  </t>
  </si>
  <si>
    <t>- "poor" thermal resistance (guideline is a single sided PCB) and</t>
  </si>
  <si>
    <t>- "good" thermal resistance (guildeline is a 4 layer PCB).</t>
  </si>
  <si>
    <r>
      <t>Recommended use</t>
    </r>
    <r>
      <rPr>
        <b/>
        <sz val="12"/>
        <color rgb="FF000000"/>
        <rFont val="Calibri"/>
        <family val="2"/>
        <scheme val="minor"/>
      </rPr>
      <t xml:space="preserve"> </t>
    </r>
  </si>
  <si>
    <t xml:space="preserve">As guideline this required Rthja can be compared with the Rthja values provided in the reference manual  which are simulated to be equivalent to the JEDEC </t>
  </si>
  <si>
    <t>specification JESD51-2 or JESD51-7 in a horizontal configuration in natural convection.</t>
  </si>
  <si>
    <t>- Vbat : Max. Battery Voltage condition (max. 20/26V) --&gt;  If boost mode is used , please also check the calculator result at 10.7V Vsup, which is the maximum input voltage using the boost mode!</t>
  </si>
  <si>
    <t>Yes</t>
  </si>
  <si>
    <t>mA/MHz</t>
  </si>
  <si>
    <t>GDU in use ?</t>
  </si>
  <si>
    <r>
      <t>I</t>
    </r>
    <r>
      <rPr>
        <vertAlign val="subscript"/>
        <sz val="11"/>
        <color theme="1"/>
        <rFont val="Calibri"/>
        <family val="2"/>
        <scheme val="minor"/>
      </rPr>
      <t>MAX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</si>
  <si>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I</t>
    </r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</si>
  <si>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</si>
  <si>
    <r>
      <t>t</t>
    </r>
    <r>
      <rPr>
        <vertAlign val="subscript"/>
        <sz val="11"/>
        <color theme="1"/>
        <rFont val="Calibri"/>
        <family val="2"/>
        <scheme val="minor"/>
      </rPr>
      <t>OFF</t>
    </r>
  </si>
  <si>
    <t>Inductance L</t>
  </si>
  <si>
    <r>
      <t>I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>LAVG</t>
    </r>
  </si>
  <si>
    <t>Boost converter Mode</t>
  </si>
  <si>
    <t>internal voltage regulator option</t>
  </si>
  <si>
    <t xml:space="preserve">external voltage regulator option       </t>
  </si>
  <si>
    <t>Summary</t>
  </si>
  <si>
    <r>
      <t>I</t>
    </r>
    <r>
      <rPr>
        <vertAlign val="subscript"/>
        <sz val="11"/>
        <color theme="1"/>
        <rFont val="Calibri"/>
        <family val="2"/>
        <scheme val="minor"/>
      </rPr>
      <t>GDU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</si>
  <si>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load </t>
    </r>
  </si>
  <si>
    <r>
      <t>R</t>
    </r>
    <r>
      <rPr>
        <vertAlign val="subscript"/>
        <sz val="11"/>
        <color theme="1"/>
        <rFont val="Calibri"/>
        <family val="2"/>
        <scheme val="minor"/>
      </rPr>
      <t>dson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</si>
  <si>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boost_static</t>
    </r>
    <r>
      <rPr>
        <b/>
        <sz val="12"/>
        <color theme="1"/>
        <rFont val="Calibri"/>
        <family val="2"/>
        <scheme val="minor"/>
      </rPr>
      <t xml:space="preserve"> (Conduction losses)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</si>
  <si>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boost_dynamic</t>
    </r>
    <r>
      <rPr>
        <b/>
        <sz val="12"/>
        <color theme="1"/>
        <rFont val="Calibri"/>
        <family val="2"/>
        <scheme val="minor"/>
      </rPr>
      <t xml:space="preserve"> (Switching losses)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</si>
  <si>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 xml:space="preserve">digital </t>
    </r>
  </si>
  <si>
    <r>
      <t>P</t>
    </r>
    <r>
      <rPr>
        <b/>
        <vertAlign val="subscript"/>
        <sz val="14"/>
        <color theme="1"/>
        <rFont val="Calibri"/>
        <family val="2"/>
      </rPr>
      <t>GDU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</si>
  <si>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>CP</t>
    </r>
  </si>
  <si>
    <r>
      <t>I</t>
    </r>
    <r>
      <rPr>
        <vertAlign val="subscript"/>
        <sz val="11"/>
        <color theme="1"/>
        <rFont val="Calibri"/>
        <family val="2"/>
        <scheme val="minor"/>
      </rPr>
      <t>external</t>
    </r>
  </si>
  <si>
    <t xml:space="preserve">Summary:  GDU Current Consumption </t>
  </si>
  <si>
    <r>
      <t>ratio</t>
    </r>
    <r>
      <rPr>
        <vertAlign val="subscript"/>
        <sz val="11"/>
        <color theme="1"/>
        <rFont val="Calibri"/>
        <family val="2"/>
        <scheme val="minor"/>
      </rPr>
      <t>Boost_on</t>
    </r>
  </si>
  <si>
    <r>
      <t>ratio</t>
    </r>
    <r>
      <rPr>
        <vertAlign val="subscript"/>
        <sz val="11"/>
        <color theme="1"/>
        <rFont val="Calibri"/>
        <family val="2"/>
        <scheme val="minor"/>
      </rPr>
      <t>Boost_off</t>
    </r>
  </si>
  <si>
    <t>Averaging factor</t>
  </si>
  <si>
    <t>switching algorithm</t>
  </si>
  <si>
    <r>
      <t>V</t>
    </r>
    <r>
      <rPr>
        <vertAlign val="subscript"/>
        <sz val="11"/>
        <color theme="1"/>
        <rFont val="Calibri"/>
        <family val="2"/>
        <scheme val="minor"/>
      </rPr>
      <t>drop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</si>
  <si>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>CP_push_pull</t>
    </r>
  </si>
  <si>
    <r>
      <t>R</t>
    </r>
    <r>
      <rPr>
        <vertAlign val="subscript"/>
        <sz val="11"/>
        <color theme="1"/>
        <rFont val="Calibri"/>
        <family val="2"/>
        <scheme val="minor"/>
      </rPr>
      <t>dson_LS</t>
    </r>
  </si>
  <si>
    <r>
      <t>R</t>
    </r>
    <r>
      <rPr>
        <vertAlign val="subscript"/>
        <sz val="11"/>
        <color theme="1"/>
        <rFont val="Calibri"/>
        <family val="2"/>
        <scheme val="minor"/>
      </rPr>
      <t>dson_HS</t>
    </r>
  </si>
  <si>
    <r>
      <t>I</t>
    </r>
    <r>
      <rPr>
        <vertAlign val="subscript"/>
        <sz val="11"/>
        <color theme="1"/>
        <rFont val="Calibri"/>
        <family val="2"/>
        <scheme val="minor"/>
      </rPr>
      <t>load</t>
    </r>
  </si>
  <si>
    <r>
      <t>I</t>
    </r>
    <r>
      <rPr>
        <vertAlign val="subscript"/>
        <sz val="11"/>
        <color theme="1"/>
        <rFont val="Calibri"/>
        <family val="2"/>
        <scheme val="minor"/>
      </rPr>
      <t>meas</t>
    </r>
  </si>
  <si>
    <r>
      <t>f</t>
    </r>
    <r>
      <rPr>
        <vertAlign val="subscript"/>
        <sz val="11"/>
        <color theme="1"/>
        <rFont val="Calibri"/>
        <family val="2"/>
        <scheme val="minor"/>
      </rPr>
      <t>boost</t>
    </r>
  </si>
  <si>
    <r>
      <t>V</t>
    </r>
    <r>
      <rPr>
        <vertAlign val="subscript"/>
        <sz val="11"/>
        <color theme="1"/>
        <rFont val="Calibri"/>
        <family val="2"/>
        <scheme val="minor"/>
      </rPr>
      <t>boost_in</t>
    </r>
    <r>
      <rPr>
        <sz val="11"/>
        <color theme="1"/>
        <rFont val="Calibri"/>
        <family val="2"/>
        <scheme val="minor"/>
      </rPr>
      <t xml:space="preserve"> (HD = rev. prot. Vbat)</t>
    </r>
  </si>
  <si>
    <r>
      <t>V</t>
    </r>
    <r>
      <rPr>
        <vertAlign val="subscript"/>
        <sz val="11"/>
        <color theme="1"/>
        <rFont val="Calibri"/>
        <family val="2"/>
        <scheme val="minor"/>
      </rPr>
      <t>boost_out</t>
    </r>
  </si>
  <si>
    <r>
      <t>V</t>
    </r>
    <r>
      <rPr>
        <vertAlign val="subscript"/>
        <sz val="11"/>
        <color theme="1"/>
        <rFont val="Calibri"/>
        <family val="2"/>
        <scheme val="minor"/>
      </rPr>
      <t>CP_out</t>
    </r>
  </si>
  <si>
    <r>
      <t>V</t>
    </r>
    <r>
      <rPr>
        <vertAlign val="subscript"/>
        <sz val="11"/>
        <color theme="1"/>
        <rFont val="Calibri"/>
        <family val="2"/>
        <scheme val="minor"/>
      </rPr>
      <t>CP_in</t>
    </r>
    <r>
      <rPr>
        <sz val="11"/>
        <color theme="1"/>
        <rFont val="Calibri"/>
        <family val="2"/>
        <scheme val="minor"/>
      </rPr>
      <t xml:space="preserve"> [=V</t>
    </r>
    <r>
      <rPr>
        <vertAlign val="subscript"/>
        <sz val="11"/>
        <color theme="1"/>
        <rFont val="Calibri"/>
        <family val="2"/>
        <scheme val="minor"/>
      </rPr>
      <t>LDO_out</t>
    </r>
    <r>
      <rPr>
        <sz val="11"/>
        <color theme="1"/>
        <rFont val="Calibri"/>
        <family val="2"/>
        <scheme val="minor"/>
      </rPr>
      <t xml:space="preserve"> ]</t>
    </r>
  </si>
  <si>
    <r>
      <t>V</t>
    </r>
    <r>
      <rPr>
        <vertAlign val="subscript"/>
        <sz val="11"/>
        <color theme="1"/>
        <rFont val="Calibri"/>
        <family val="2"/>
        <scheme val="minor"/>
      </rPr>
      <t>digital _in</t>
    </r>
  </si>
  <si>
    <r>
      <t xml:space="preserve"> P</t>
    </r>
    <r>
      <rPr>
        <b/>
        <vertAlign val="subscript"/>
        <sz val="14"/>
        <rFont val="Calibri"/>
        <family val="2"/>
        <scheme val="minor"/>
      </rPr>
      <t>Vreg</t>
    </r>
  </si>
  <si>
    <r>
      <t>P</t>
    </r>
    <r>
      <rPr>
        <vertAlign val="subscript"/>
        <sz val="14"/>
        <rFont val="Calibri"/>
        <family val="2"/>
        <scheme val="minor"/>
      </rPr>
      <t>Vreg_int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</si>
  <si>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 xml:space="preserve">digital 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</si>
  <si>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Vreg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</si>
  <si>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GDU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</si>
  <si>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CP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</si>
  <si>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Boost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</si>
  <si>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>total</t>
    </r>
  </si>
  <si>
    <t>Number of Shunts</t>
  </si>
  <si>
    <r>
      <t>f</t>
    </r>
    <r>
      <rPr>
        <b/>
        <vertAlign val="subscript"/>
        <sz val="12"/>
        <rFont val="Calibri"/>
        <family val="2"/>
        <scheme val="minor"/>
      </rPr>
      <t>bus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</si>
  <si>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digital_dynamic </t>
    </r>
    <r>
      <rPr>
        <sz val="11"/>
        <color theme="1"/>
        <rFont val="Calibri"/>
        <family val="2"/>
        <scheme val="minor"/>
      </rPr>
      <t>gradient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</si>
  <si>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>LIN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</si>
  <si>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>Boost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</si>
  <si>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LDO_out </t>
    </r>
    <r>
      <rPr>
        <sz val="11"/>
        <color theme="1"/>
        <rFont val="Calibri"/>
        <family val="2"/>
        <scheme val="minor"/>
      </rPr>
      <t>= V</t>
    </r>
    <r>
      <rPr>
        <vertAlign val="subscript"/>
        <sz val="11"/>
        <color theme="1"/>
        <rFont val="Calibri"/>
        <family val="2"/>
        <scheme val="minor"/>
      </rPr>
      <t xml:space="preserve">VLS_OUT 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</si>
  <si>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LDO_Load </t>
    </r>
    <r>
      <rPr>
        <sz val="11"/>
        <color theme="1"/>
        <rFont val="Calibri"/>
        <family val="2"/>
        <scheme val="minor"/>
      </rPr>
      <t xml:space="preserve">= </t>
    </r>
    <r>
      <rPr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GD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1"/>
        <color theme="1"/>
        <rFont val="Calibri"/>
        <family val="2"/>
        <scheme val="minor"/>
      </rPr>
      <t>CP</t>
    </r>
  </si>
  <si>
    <r>
      <t>I</t>
    </r>
    <r>
      <rPr>
        <vertAlign val="subscript"/>
        <sz val="11"/>
        <color theme="1"/>
        <rFont val="Calibri"/>
        <family val="2"/>
        <scheme val="minor"/>
      </rPr>
      <t>GD</t>
    </r>
  </si>
  <si>
    <r>
      <t xml:space="preserve"> P</t>
    </r>
    <r>
      <rPr>
        <b/>
        <vertAlign val="subscript"/>
        <sz val="14"/>
        <rFont val="Calibri"/>
        <family val="2"/>
        <scheme val="minor"/>
      </rPr>
      <t>Vreg_ext</t>
    </r>
  </si>
  <si>
    <r>
      <rPr>
        <b/>
        <sz val="11"/>
        <color theme="1"/>
        <rFont val="Calibri"/>
        <family val="2"/>
      </rPr>
      <t xml:space="preserve">❸ </t>
    </r>
    <r>
      <rPr>
        <b/>
        <i/>
        <sz val="11"/>
        <color theme="0" tint="-0.499984740745262"/>
        <rFont val="Calibri"/>
        <family val="2"/>
      </rPr>
      <t xml:space="preserve">Gate Driver dynamic part </t>
    </r>
  </si>
  <si>
    <r>
      <rPr>
        <b/>
        <sz val="11"/>
        <color theme="1"/>
        <rFont val="Calibri"/>
        <family val="2"/>
      </rPr>
      <t xml:space="preserve">❹ </t>
    </r>
    <r>
      <rPr>
        <b/>
        <i/>
        <sz val="11"/>
        <color theme="0" tint="-0.499984740745262"/>
        <rFont val="Calibri"/>
        <family val="2"/>
      </rPr>
      <t xml:space="preserve">Gate Driver static part </t>
    </r>
  </si>
  <si>
    <r>
      <t>I</t>
    </r>
    <r>
      <rPr>
        <vertAlign val="subscript"/>
        <sz val="11"/>
        <color theme="1"/>
        <rFont val="Calibri"/>
        <family val="2"/>
        <scheme val="minor"/>
      </rPr>
      <t>OpAmp</t>
    </r>
  </si>
  <si>
    <r>
      <t xml:space="preserve">❺ </t>
    </r>
    <r>
      <rPr>
        <b/>
        <i/>
        <sz val="11"/>
        <color theme="0" tint="-0.499984740745262"/>
        <rFont val="Calibri"/>
        <family val="2"/>
      </rPr>
      <t>Measuring ciruit losses (HD/Phase Voltage dividers)</t>
    </r>
  </si>
  <si>
    <t>Hz</t>
  </si>
  <si>
    <r>
      <t>P</t>
    </r>
    <r>
      <rPr>
        <vertAlign val="subscript"/>
        <sz val="11"/>
        <color theme="1"/>
        <rFont val="Calibri"/>
        <family val="2"/>
        <scheme val="minor"/>
      </rPr>
      <t>GDU_GD_dynamic_PWM</t>
    </r>
  </si>
  <si>
    <r>
      <t>P</t>
    </r>
    <r>
      <rPr>
        <vertAlign val="subscript"/>
        <sz val="11"/>
        <color theme="1"/>
        <rFont val="Calibri"/>
        <family val="2"/>
        <scheme val="minor"/>
      </rPr>
      <t>GDU_GD_dynamic_SLOW</t>
    </r>
  </si>
  <si>
    <r>
      <t>P</t>
    </r>
    <r>
      <rPr>
        <b/>
        <vertAlign val="subscript"/>
        <sz val="14"/>
        <color theme="1"/>
        <rFont val="Calibri"/>
        <family val="2"/>
      </rPr>
      <t>GDU_GD_static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</si>
  <si>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>GDU_LDO</t>
    </r>
  </si>
  <si>
    <r>
      <t>P</t>
    </r>
    <r>
      <rPr>
        <b/>
        <vertAlign val="subscript"/>
        <sz val="14"/>
        <color theme="1"/>
        <rFont val="Calibri"/>
        <family val="2"/>
      </rPr>
      <t>GDU_MEAS</t>
    </r>
  </si>
  <si>
    <r>
      <t>P</t>
    </r>
    <r>
      <rPr>
        <b/>
        <vertAlign val="subscript"/>
        <sz val="14"/>
        <color theme="1"/>
        <rFont val="Calibri"/>
        <family val="2"/>
      </rPr>
      <t>GDU_OPAMP</t>
    </r>
  </si>
  <si>
    <r>
      <t>I</t>
    </r>
    <r>
      <rPr>
        <vertAlign val="subscript"/>
        <sz val="11"/>
        <color theme="1"/>
        <rFont val="Calibri"/>
        <family val="2"/>
      </rPr>
      <t xml:space="preserve">GDU_OPAMP </t>
    </r>
  </si>
  <si>
    <t>GDU revision</t>
  </si>
  <si>
    <r>
      <rPr>
        <b/>
        <i/>
        <sz val="11"/>
        <color theme="1"/>
        <rFont val="Calibri"/>
        <family val="2"/>
      </rPr>
      <t>❷</t>
    </r>
    <r>
      <rPr>
        <b/>
        <i/>
        <sz val="11"/>
        <color theme="0" tint="-0.499984740745262"/>
        <rFont val="Calibri"/>
        <family val="2"/>
      </rPr>
      <t>Operational Amplifiers</t>
    </r>
  </si>
  <si>
    <t>Max Tj</t>
  </si>
  <si>
    <t>rpm</t>
  </si>
  <si>
    <r>
      <t>I</t>
    </r>
    <r>
      <rPr>
        <vertAlign val="subscript"/>
        <sz val="11"/>
        <color theme="1"/>
        <rFont val="Calibri"/>
        <family val="2"/>
        <scheme val="minor"/>
      </rPr>
      <t>total</t>
    </r>
  </si>
  <si>
    <t># of MOSFETs in operation</t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</si>
  <si>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digital </t>
    </r>
    <r>
      <rPr>
        <sz val="11"/>
        <color theme="1"/>
        <rFont val="Calibri"/>
        <family val="2"/>
        <scheme val="minor"/>
      </rPr>
      <t>= I</t>
    </r>
    <r>
      <rPr>
        <vertAlign val="subscript"/>
        <sz val="11"/>
        <color theme="1"/>
        <rFont val="Calibri"/>
        <family val="2"/>
        <scheme val="minor"/>
      </rPr>
      <t>VDDX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</si>
  <si>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VSUP </t>
    </r>
    <r>
      <rPr>
        <sz val="11"/>
        <color theme="1"/>
        <rFont val="Calibri"/>
        <family val="2"/>
        <scheme val="minor"/>
      </rPr>
      <t>( I</t>
    </r>
    <r>
      <rPr>
        <vertAlign val="subscript"/>
        <sz val="11"/>
        <color theme="1"/>
        <rFont val="Calibri"/>
        <family val="2"/>
        <scheme val="minor"/>
      </rPr>
      <t xml:space="preserve">GDU </t>
    </r>
    <r>
      <rPr>
        <sz val="11"/>
        <color theme="1"/>
        <rFont val="Calibri"/>
        <family val="2"/>
        <scheme val="minor"/>
      </rPr>
      <t>+ I</t>
    </r>
    <r>
      <rPr>
        <vertAlign val="subscript"/>
        <sz val="11"/>
        <color theme="1"/>
        <rFont val="Calibri"/>
        <family val="2"/>
        <scheme val="minor"/>
      </rPr>
      <t xml:space="preserve">external </t>
    </r>
    <r>
      <rPr>
        <sz val="11"/>
        <color theme="1"/>
        <rFont val="Calibri"/>
        <family val="2"/>
        <scheme val="minor"/>
      </rPr>
      <t>+ I</t>
    </r>
    <r>
      <rPr>
        <vertAlign val="subscript"/>
        <sz val="11"/>
        <color theme="1"/>
        <rFont val="Calibri"/>
        <family val="2"/>
        <scheme val="minor"/>
      </rPr>
      <t>LIN</t>
    </r>
    <r>
      <rPr>
        <sz val="11"/>
        <color theme="1"/>
        <rFont val="Calibri"/>
        <family val="2"/>
        <scheme val="minor"/>
      </rPr>
      <t>)</t>
    </r>
  </si>
  <si>
    <t>Total Gate Charge of MOSFET</t>
  </si>
  <si>
    <r>
      <t>f</t>
    </r>
    <r>
      <rPr>
        <vertAlign val="subscript"/>
        <sz val="11"/>
        <color theme="1"/>
        <rFont val="Calibri"/>
        <family val="2"/>
      </rPr>
      <t>GD_PWM_LS_SLOW</t>
    </r>
  </si>
  <si>
    <r>
      <t>f</t>
    </r>
    <r>
      <rPr>
        <vertAlign val="subscript"/>
        <sz val="11"/>
        <color theme="1"/>
        <rFont val="Calibri"/>
        <family val="2"/>
      </rPr>
      <t>GD_PWM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</si>
  <si>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>GDU_GD_dynamic</t>
    </r>
  </si>
  <si>
    <r>
      <t>f</t>
    </r>
    <r>
      <rPr>
        <vertAlign val="subscript"/>
        <sz val="11"/>
        <color theme="1"/>
        <rFont val="Calibri"/>
        <family val="2"/>
        <scheme val="minor"/>
      </rPr>
      <t>motor_mech</t>
    </r>
  </si>
  <si>
    <r>
      <t>f</t>
    </r>
    <r>
      <rPr>
        <vertAlign val="subscript"/>
        <sz val="11"/>
        <color theme="1"/>
        <rFont val="Calibri"/>
        <family val="2"/>
        <scheme val="minor"/>
      </rPr>
      <t>motor_elec</t>
    </r>
  </si>
  <si>
    <r>
      <t>I</t>
    </r>
    <r>
      <rPr>
        <vertAlign val="subscript"/>
        <sz val="11"/>
        <color theme="1"/>
        <rFont val="Calibri"/>
        <family val="2"/>
      </rPr>
      <t>GD_static_on</t>
    </r>
  </si>
  <si>
    <r>
      <t>I</t>
    </r>
    <r>
      <rPr>
        <vertAlign val="subscript"/>
        <sz val="11"/>
        <color theme="1"/>
        <rFont val="Calibri"/>
        <family val="2"/>
      </rPr>
      <t>GD_static_off</t>
    </r>
  </si>
  <si>
    <r>
      <t>I</t>
    </r>
    <r>
      <rPr>
        <vertAlign val="subscript"/>
        <sz val="11"/>
        <color theme="1"/>
        <rFont val="Calibri"/>
        <family val="2"/>
      </rPr>
      <t>GD_static</t>
    </r>
  </si>
  <si>
    <r>
      <t>I</t>
    </r>
    <r>
      <rPr>
        <vertAlign val="subscript"/>
        <sz val="11"/>
        <color theme="1"/>
        <rFont val="Calibri"/>
        <family val="2"/>
        <scheme val="minor"/>
      </rPr>
      <t>LDO_static</t>
    </r>
  </si>
  <si>
    <r>
      <t>I</t>
    </r>
    <r>
      <rPr>
        <vertAlign val="subscript"/>
        <sz val="11"/>
        <color theme="1"/>
        <rFont val="Calibri"/>
        <family val="2"/>
        <scheme val="minor"/>
      </rPr>
      <t>GD_dynamic_avg_total</t>
    </r>
  </si>
  <si>
    <r>
      <t>I</t>
    </r>
    <r>
      <rPr>
        <vertAlign val="subscript"/>
        <sz val="11"/>
        <color theme="1"/>
        <rFont val="Calibri"/>
        <family val="2"/>
        <scheme val="minor"/>
      </rPr>
      <t>GD_dynamic_avg_slow_total</t>
    </r>
  </si>
  <si>
    <t># of MOSFETs GD_PWM switched</t>
  </si>
  <si>
    <t># of MOSFETs slow_PWM switched</t>
  </si>
  <si>
    <r>
      <t>I</t>
    </r>
    <r>
      <rPr>
        <vertAlign val="subscript"/>
        <sz val="11"/>
        <color theme="1"/>
        <rFont val="Calibri"/>
        <family val="2"/>
        <scheme val="minor"/>
      </rPr>
      <t>GD_static</t>
    </r>
  </si>
  <si>
    <r>
      <t>I</t>
    </r>
    <r>
      <rPr>
        <vertAlign val="subscript"/>
        <sz val="11"/>
        <color theme="1"/>
        <rFont val="Calibri"/>
        <family val="2"/>
        <scheme val="minor"/>
      </rPr>
      <t>GD_dynamic</t>
    </r>
  </si>
  <si>
    <r>
      <t>I</t>
    </r>
    <r>
      <rPr>
        <vertAlign val="subscript"/>
        <sz val="14"/>
        <color theme="1"/>
        <rFont val="Calibri"/>
        <family val="2"/>
      </rPr>
      <t>MEAS</t>
    </r>
  </si>
  <si>
    <t>Gate Drive Unit</t>
  </si>
  <si>
    <t>High-Side Drivers</t>
  </si>
  <si>
    <t>V_sup_hs</t>
  </si>
  <si>
    <t>HS0 in use</t>
  </si>
  <si>
    <t>No</t>
  </si>
  <si>
    <t>Load current HS0</t>
  </si>
  <si>
    <t>HS1 in use</t>
  </si>
  <si>
    <t>Load current HS1</t>
  </si>
  <si>
    <t>HSx Rds-on</t>
  </si>
  <si>
    <t>Ω</t>
  </si>
  <si>
    <t>P_HS0</t>
  </si>
  <si>
    <t>P_HS1</t>
  </si>
  <si>
    <t>TBD</t>
  </si>
  <si>
    <t xml:space="preserve">Pv_HS0_dynamic  </t>
  </si>
  <si>
    <t xml:space="preserve">Pv_HS1_dynamic  </t>
  </si>
  <si>
    <r>
      <t>P</t>
    </r>
    <r>
      <rPr>
        <b/>
        <vertAlign val="subscript"/>
        <sz val="12"/>
        <color theme="1"/>
        <rFont val="Calibri"/>
        <family val="2"/>
        <scheme val="minor"/>
      </rPr>
      <t>HS0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</si>
  <si>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HS1</t>
    </r>
  </si>
  <si>
    <r>
      <t>P</t>
    </r>
    <r>
      <rPr>
        <b/>
        <vertAlign val="subscript"/>
        <sz val="14"/>
        <color theme="1"/>
        <rFont val="Calibri"/>
        <family val="2"/>
        <scheme val="minor"/>
      </rPr>
      <t>HS</t>
    </r>
  </si>
  <si>
    <t>CAN Transceiver</t>
  </si>
  <si>
    <t>Vddc_sup</t>
  </si>
  <si>
    <t>Voltage Regulator</t>
  </si>
  <si>
    <r>
      <t>P</t>
    </r>
    <r>
      <rPr>
        <b/>
        <vertAlign val="subscript"/>
        <sz val="12"/>
        <color theme="1"/>
        <rFont val="Calibri"/>
        <family val="2"/>
        <scheme val="minor"/>
      </rPr>
      <t>CAN</t>
    </r>
  </si>
  <si>
    <t>Bus Impedance</t>
  </si>
  <si>
    <r>
      <t xml:space="preserve"> P</t>
    </r>
    <r>
      <rPr>
        <b/>
        <vertAlign val="subscript"/>
        <sz val="14"/>
        <rFont val="Calibri"/>
        <family val="2"/>
        <scheme val="minor"/>
      </rPr>
      <t>BCTLC</t>
    </r>
  </si>
  <si>
    <t>Regulated Voltage</t>
  </si>
  <si>
    <t>External Voltage Regulator (Reference only)</t>
  </si>
  <si>
    <t>CAN Traffic</t>
  </si>
  <si>
    <t>CAN bit Duty Cycle</t>
  </si>
  <si>
    <t>CAN frame Duty Cycle</t>
  </si>
  <si>
    <t>IRES</t>
  </si>
  <si>
    <t>IDOM</t>
  </si>
  <si>
    <t>ISTB</t>
  </si>
  <si>
    <t>ISDN</t>
  </si>
  <si>
    <t>VCANH-VCANL</t>
  </si>
  <si>
    <t>Diff Input Hysteresis</t>
  </si>
  <si>
    <t>MIN</t>
  </si>
  <si>
    <t>TYP</t>
  </si>
  <si>
    <t>MAX</t>
  </si>
  <si>
    <t>UNITS</t>
  </si>
  <si>
    <t>Transceiver Current</t>
  </si>
  <si>
    <t>CANH &amp; CANL pins</t>
  </si>
  <si>
    <t>Input Resistance</t>
  </si>
  <si>
    <t>KΩ</t>
  </si>
  <si>
    <t>Differential Input Resistance</t>
  </si>
  <si>
    <t>=2*RIN</t>
  </si>
  <si>
    <t>RIND</t>
  </si>
  <si>
    <t>RIN</t>
  </si>
  <si>
    <t>VHYS</t>
  </si>
  <si>
    <t>Differential Input Voltage, Normal, recessive</t>
  </si>
  <si>
    <t>Differential Input Voltage, Normal, dominant</t>
  </si>
  <si>
    <t>Differential Input Voltage, Standby, recessive</t>
  </si>
  <si>
    <t>Differential Input Voltage, Standby, dominant</t>
  </si>
  <si>
    <t>Common Mode Input Resistance matching</t>
  </si>
  <si>
    <t>RINM</t>
  </si>
  <si>
    <t>VCANH</t>
  </si>
  <si>
    <t>VCANL</t>
  </si>
  <si>
    <t>VOH-VOL</t>
  </si>
  <si>
    <t>Transceiver current</t>
  </si>
  <si>
    <t>VCANH - VCANL (dom)</t>
  </si>
  <si>
    <t>VCANH - VCANL (rec)</t>
  </si>
  <si>
    <t>1.5, 2.0, 3.0</t>
  </si>
  <si>
    <t>min, typ, max</t>
  </si>
  <si>
    <t>-0.5, 0, 0.05</t>
  </si>
  <si>
    <r>
      <t>P</t>
    </r>
    <r>
      <rPr>
        <b/>
        <vertAlign val="subscript"/>
        <sz val="14"/>
        <color theme="1"/>
        <rFont val="Calibri"/>
        <family val="2"/>
        <scheme val="minor"/>
      </rPr>
      <t>CAN</t>
    </r>
  </si>
  <si>
    <t>Total Current</t>
  </si>
  <si>
    <t>Power dissipation</t>
  </si>
  <si>
    <t>I_out (dom)</t>
  </si>
  <si>
    <t>I_out (rec)</t>
  </si>
  <si>
    <t>I_out (average)</t>
  </si>
  <si>
    <t>P_load (dom)</t>
  </si>
  <si>
    <t>P_load (rec)</t>
  </si>
  <si>
    <t>P_load (average)</t>
  </si>
  <si>
    <t>CAN dominant state</t>
  </si>
  <si>
    <t>CAN recessive state</t>
  </si>
  <si>
    <r>
      <t>I</t>
    </r>
    <r>
      <rPr>
        <vertAlign val="subscript"/>
        <sz val="11"/>
        <color theme="1"/>
        <rFont val="Calibri"/>
        <family val="2"/>
        <scheme val="minor"/>
      </rPr>
      <t>RES</t>
    </r>
    <r>
      <rPr>
        <sz val="11"/>
        <color theme="1"/>
        <rFont val="Calibri"/>
        <family val="2"/>
        <scheme val="minor"/>
      </rPr>
      <t>, Recessive State</t>
    </r>
  </si>
  <si>
    <r>
      <t>I</t>
    </r>
    <r>
      <rPr>
        <vertAlign val="subscript"/>
        <sz val="11"/>
        <color theme="1"/>
        <rFont val="Calibri"/>
        <family val="2"/>
        <scheme val="minor"/>
      </rPr>
      <t>DOM</t>
    </r>
    <r>
      <rPr>
        <sz val="11"/>
        <color theme="1"/>
        <rFont val="Calibri"/>
        <family val="2"/>
        <scheme val="minor"/>
      </rPr>
      <t>, Dominant State</t>
    </r>
  </si>
  <si>
    <t>I_static, average</t>
  </si>
  <si>
    <t>CANH/CANL</t>
  </si>
  <si>
    <r>
      <t>P</t>
    </r>
    <r>
      <rPr>
        <b/>
        <vertAlign val="subscript"/>
        <sz val="14"/>
        <rFont val="Calibri"/>
        <family val="2"/>
        <scheme val="minor"/>
      </rPr>
      <t>CAN_static</t>
    </r>
  </si>
  <si>
    <r>
      <t>P</t>
    </r>
    <r>
      <rPr>
        <vertAlign val="subscript"/>
        <sz val="11"/>
        <color theme="1"/>
        <rFont val="Calibri"/>
        <family val="2"/>
        <scheme val="minor"/>
      </rPr>
      <t>IN</t>
    </r>
  </si>
  <si>
    <r>
      <t>P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- P</t>
    </r>
    <r>
      <rPr>
        <vertAlign val="subscript"/>
        <sz val="11"/>
        <color theme="1"/>
        <rFont val="Calibri"/>
        <family val="2"/>
        <scheme val="minor"/>
      </rPr>
      <t>LOAD</t>
    </r>
  </si>
  <si>
    <t>For S12ZVMC256</t>
  </si>
  <si>
    <t>For S12ZVMB64</t>
  </si>
  <si>
    <t>VDDS1 sensor voltage regulator option</t>
  </si>
  <si>
    <t>VDDS2 sensor voltage regulator option</t>
  </si>
  <si>
    <r>
      <t xml:space="preserve"> P</t>
    </r>
    <r>
      <rPr>
        <b/>
        <vertAlign val="subscript"/>
        <sz val="14"/>
        <rFont val="Calibri"/>
        <family val="2"/>
        <scheme val="minor"/>
      </rPr>
      <t>VDDS1</t>
    </r>
  </si>
  <si>
    <r>
      <t xml:space="preserve"> P</t>
    </r>
    <r>
      <rPr>
        <b/>
        <vertAlign val="subscript"/>
        <sz val="14"/>
        <rFont val="Calibri"/>
        <family val="2"/>
        <scheme val="minor"/>
      </rPr>
      <t>VDDS2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</si>
  <si>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VDDS1,2</t>
    </r>
  </si>
  <si>
    <t xml:space="preserve">CAN-Module in use ? </t>
  </si>
  <si>
    <t xml:space="preserve">LIN-Module in use ? </t>
  </si>
  <si>
    <t xml:space="preserve">VDDS1 in use ? </t>
  </si>
  <si>
    <t xml:space="preserve">VDDS2 in use ? </t>
  </si>
  <si>
    <r>
      <t>P</t>
    </r>
    <r>
      <rPr>
        <b/>
        <vertAlign val="subscript"/>
        <sz val="12"/>
        <color theme="0" tint="-0.499984740745262"/>
        <rFont val="Calibri"/>
        <family val="2"/>
        <scheme val="minor"/>
      </rPr>
      <t>LIN</t>
    </r>
  </si>
  <si>
    <r>
      <t>P</t>
    </r>
    <r>
      <rPr>
        <b/>
        <vertAlign val="subscript"/>
        <sz val="12"/>
        <color theme="0" tint="-0.499984740745262"/>
        <rFont val="Calibri"/>
        <family val="2"/>
        <scheme val="minor"/>
      </rPr>
      <t>HS</t>
    </r>
  </si>
  <si>
    <t>For all, except S12ZVMC256</t>
  </si>
  <si>
    <t>For all, except S12ZVMB</t>
  </si>
  <si>
    <t>S12CANPHY Electrical Specifications (from MC9S12ZVM_RM_V2.5.pdf)</t>
  </si>
  <si>
    <t>CANPHY Supply current, Normal mode, Bus in Recessive State</t>
  </si>
  <si>
    <t>CANPHY Supply current, Normal mode, Bus in Dominant State without Bus Load</t>
  </si>
  <si>
    <t>CANPHY Supply current, Standby mode</t>
  </si>
  <si>
    <t>CANPHY Supply current, Shutdown mode</t>
  </si>
  <si>
    <t>Symbol</t>
  </si>
  <si>
    <t>Description</t>
  </si>
  <si>
    <t>CANH Output Voltage (RL=60Ω, normal mode, TXD Dominant)</t>
  </si>
  <si>
    <t>CANH Output Voltage (RL=60Ω, normal mode, TXD Recessive)</t>
  </si>
  <si>
    <t>CANL Output Voltage (RL=60Ω, normal mode, TXD Recessive)</t>
  </si>
  <si>
    <t>Differential Output Voltage (RL=60Ω, normal mode, TXD Dominant)</t>
  </si>
  <si>
    <t>Differential Output Voltage (RL=60Ω, normal mode, TXD Recessive)</t>
  </si>
  <si>
    <t>CANL Output Voltage (RL=60Ω, normal mode, TXD Dominant)</t>
  </si>
  <si>
    <t>Output Current (RL=60Ω, normal mode, TXD Dominant)</t>
  </si>
  <si>
    <t>Output Current (RL=60Ω, normal mode, TXD Recessive)</t>
  </si>
  <si>
    <t>calculated values, not in datasheet</t>
  </si>
  <si>
    <t>26°C/W for LQFP80-EP</t>
  </si>
  <si>
    <t xml:space="preserve">S12ZVM (A/B/C) Power Dissipation Calculator </t>
  </si>
  <si>
    <t>❶ Select the Device Part Number:</t>
  </si>
  <si>
    <t>Only for S12ZVMC256</t>
  </si>
  <si>
    <t>Phases Available</t>
  </si>
  <si>
    <t>Device Selection</t>
  </si>
  <si>
    <t>- Fields like GDU version and LIN/CAN modules are enable or dissable automatically according to device selected</t>
  </si>
  <si>
    <t>- Select between our device list: S12ZVML12, S12ZVMC256, S12ZVM32, S12ZVMB, S12ZVMA</t>
  </si>
  <si>
    <t>sine commutation</t>
  </si>
  <si>
    <t>S12ZVMC256</t>
  </si>
  <si>
    <t>Rev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</si>
</sst>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i/>
      <sz val="11"/>
      <color theme="0" tint="-0.499984740745262"/>
      <name val="Calibri"/>
      <family val="2"/>
    </font>
    <font>
      <b/>
      <i/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36"/>
      <color theme="1"/>
      <name val="Arial Black"/>
      <family val="2"/>
    </font>
    <font>
      <b/>
      <i/>
      <sz val="11"/>
      <color theme="1"/>
      <name val="Calibri"/>
      <family val="2"/>
    </font>
    <font>
      <b/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vertAlign val="subscript"/>
      <sz val="12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4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vertAlign val="subscript"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2">
    <xf numFmtId="0" fontId="0" fillId="0" borderId="0" xfId="0"/>
    <xf numFmtId="0" fontId="0" fillId="0" borderId="0" xfId="0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3" borderId="0" xfId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3" xfId="0" applyFill="1" applyBorder="1"/>
    <xf numFmtId="0" fontId="1" fillId="4" borderId="0" xfId="1" applyFill="1" applyBorder="1"/>
    <xf numFmtId="164" fontId="0" fillId="4" borderId="0" xfId="0" applyNumberFormat="1" applyFill="1" applyBorder="1" applyAlignment="1">
      <alignment horizontal="center" vertical="center"/>
    </xf>
    <xf numFmtId="0" fontId="0" fillId="4" borderId="1" xfId="0" applyFill="1" applyBorder="1"/>
    <xf numFmtId="164" fontId="0" fillId="4" borderId="0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0" fontId="0" fillId="5" borderId="4" xfId="0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/>
    </xf>
    <xf numFmtId="0" fontId="0" fillId="7" borderId="3" xfId="0" applyFill="1" applyBorder="1"/>
    <xf numFmtId="0" fontId="0" fillId="7" borderId="4" xfId="0" applyFill="1" applyBorder="1" applyAlignment="1">
      <alignment horizontal="left"/>
    </xf>
    <xf numFmtId="0" fontId="0" fillId="7" borderId="5" xfId="0" applyFill="1" applyBorder="1"/>
    <xf numFmtId="0" fontId="0" fillId="7" borderId="6" xfId="0" applyFill="1" applyBorder="1" applyAlignment="1">
      <alignment horizontal="left"/>
    </xf>
    <xf numFmtId="2" fontId="0" fillId="8" borderId="0" xfId="0" applyNumberFormat="1" applyFill="1" applyBorder="1" applyAlignment="1">
      <alignment horizontal="center"/>
    </xf>
    <xf numFmtId="0" fontId="0" fillId="8" borderId="4" xfId="0" applyFill="1" applyBorder="1" applyAlignment="1">
      <alignment horizontal="left" vertical="center"/>
    </xf>
    <xf numFmtId="0" fontId="0" fillId="8" borderId="3" xfId="0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7" fillId="8" borderId="3" xfId="0" applyFont="1" applyFill="1" applyBorder="1"/>
    <xf numFmtId="0" fontId="0" fillId="9" borderId="0" xfId="0" applyFill="1"/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2" fontId="12" fillId="7" borderId="1" xfId="0" applyNumberFormat="1" applyFont="1" applyFill="1" applyBorder="1" applyAlignment="1">
      <alignment horizontal="left"/>
    </xf>
    <xf numFmtId="0" fontId="0" fillId="10" borderId="3" xfId="0" applyFill="1" applyBorder="1"/>
    <xf numFmtId="2" fontId="0" fillId="11" borderId="0" xfId="0" applyNumberFormat="1" applyFill="1" applyBorder="1" applyAlignment="1">
      <alignment horizontal="left"/>
    </xf>
    <xf numFmtId="2" fontId="0" fillId="11" borderId="0" xfId="0" applyNumberFormat="1" applyFont="1" applyFill="1" applyBorder="1" applyAlignment="1">
      <alignment horizontal="left"/>
    </xf>
    <xf numFmtId="0" fontId="0" fillId="8" borderId="0" xfId="0" applyFill="1" applyBorder="1"/>
    <xf numFmtId="0" fontId="20" fillId="12" borderId="3" xfId="0" applyFont="1" applyFill="1" applyBorder="1" applyAlignment="1">
      <alignment horizontal="left"/>
    </xf>
    <xf numFmtId="0" fontId="0" fillId="12" borderId="0" xfId="0" applyFill="1" applyBorder="1" applyAlignment="1">
      <alignment horizontal="center"/>
    </xf>
    <xf numFmtId="0" fontId="0" fillId="12" borderId="4" xfId="0" applyFill="1" applyBorder="1" applyAlignment="1">
      <alignment horizontal="left" vertical="center"/>
    </xf>
    <xf numFmtId="2" fontId="0" fillId="12" borderId="0" xfId="0" applyNumberForma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0" fontId="10" fillId="8" borderId="3" xfId="0" applyFont="1" applyFill="1" applyBorder="1"/>
    <xf numFmtId="0" fontId="0" fillId="8" borderId="3" xfId="0" applyFill="1" applyBorder="1"/>
    <xf numFmtId="0" fontId="0" fillId="8" borderId="0" xfId="0" applyFill="1"/>
    <xf numFmtId="0" fontId="0" fillId="8" borderId="0" xfId="0" applyFill="1" applyBorder="1" applyAlignment="1">
      <alignment horizontal="left"/>
    </xf>
    <xf numFmtId="0" fontId="0" fillId="8" borderId="4" xfId="0" applyFill="1" applyBorder="1"/>
    <xf numFmtId="0" fontId="3" fillId="8" borderId="3" xfId="0" applyFont="1" applyFill="1" applyBorder="1"/>
    <xf numFmtId="0" fontId="0" fillId="8" borderId="4" xfId="0" applyFill="1" applyBorder="1" applyAlignment="1">
      <alignment horizontal="left"/>
    </xf>
    <xf numFmtId="0" fontId="3" fillId="8" borderId="0" xfId="0" applyFont="1" applyFill="1" applyBorder="1"/>
    <xf numFmtId="0" fontId="3" fillId="8" borderId="5" xfId="0" applyFont="1" applyFill="1" applyBorder="1"/>
    <xf numFmtId="0" fontId="0" fillId="5" borderId="0" xfId="0" applyFill="1" applyBorder="1"/>
    <xf numFmtId="0" fontId="10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2" fontId="0" fillId="5" borderId="0" xfId="0" applyNumberFormat="1" applyFill="1" applyBorder="1" applyAlignment="1">
      <alignment horizontal="center"/>
    </xf>
    <xf numFmtId="0" fontId="0" fillId="5" borderId="1" xfId="0" applyFill="1" applyBorder="1"/>
    <xf numFmtId="2" fontId="17" fillId="3" borderId="0" xfId="0" applyNumberFormat="1" applyFon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/>
    </xf>
    <xf numFmtId="0" fontId="0" fillId="13" borderId="3" xfId="0" applyFill="1" applyBorder="1"/>
    <xf numFmtId="2" fontId="0" fillId="13" borderId="0" xfId="0" applyNumberFormat="1" applyFill="1" applyBorder="1"/>
    <xf numFmtId="0" fontId="0" fillId="13" borderId="4" xfId="0" applyFill="1" applyBorder="1"/>
    <xf numFmtId="0" fontId="0" fillId="13" borderId="0" xfId="0" applyFill="1" applyBorder="1"/>
    <xf numFmtId="0" fontId="0" fillId="13" borderId="5" xfId="0" applyFill="1" applyBorder="1"/>
    <xf numFmtId="0" fontId="0" fillId="13" borderId="6" xfId="0" applyFill="1" applyBorder="1"/>
    <xf numFmtId="1" fontId="17" fillId="3" borderId="0" xfId="0" applyNumberFormat="1" applyFont="1" applyFill="1" applyBorder="1" applyAlignment="1">
      <alignment horizontal="center" vertical="center"/>
    </xf>
    <xf numFmtId="0" fontId="21" fillId="13" borderId="3" xfId="0" applyFont="1" applyFill="1" applyBorder="1"/>
    <xf numFmtId="0" fontId="20" fillId="13" borderId="3" xfId="0" applyFont="1" applyFill="1" applyBorder="1"/>
    <xf numFmtId="0" fontId="0" fillId="4" borderId="5" xfId="0" applyFill="1" applyBorder="1"/>
    <xf numFmtId="0" fontId="0" fillId="4" borderId="4" xfId="0" applyFill="1" applyBorder="1"/>
    <xf numFmtId="2" fontId="0" fillId="6" borderId="0" xfId="0" applyNumberFormat="1" applyFill="1" applyBorder="1" applyAlignment="1">
      <alignment horizontal="center"/>
    </xf>
    <xf numFmtId="0" fontId="18" fillId="9" borderId="0" xfId="0" applyFont="1" applyFill="1" applyBorder="1"/>
    <xf numFmtId="0" fontId="0" fillId="9" borderId="0" xfId="0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4" xfId="0" applyFill="1" applyBorder="1"/>
    <xf numFmtId="0" fontId="0" fillId="9" borderId="1" xfId="0" applyFill="1" applyBorder="1"/>
    <xf numFmtId="0" fontId="0" fillId="9" borderId="6" xfId="0" applyFill="1" applyBorder="1"/>
    <xf numFmtId="0" fontId="0" fillId="9" borderId="12" xfId="0" applyFill="1" applyBorder="1"/>
    <xf numFmtId="0" fontId="0" fillId="9" borderId="3" xfId="0" applyFill="1" applyBorder="1"/>
    <xf numFmtId="0" fontId="0" fillId="9" borderId="5" xfId="0" applyFill="1" applyBorder="1"/>
    <xf numFmtId="0" fontId="0" fillId="5" borderId="0" xfId="0" applyFill="1"/>
    <xf numFmtId="0" fontId="0" fillId="5" borderId="2" xfId="0" applyFill="1" applyBorder="1"/>
    <xf numFmtId="0" fontId="0" fillId="5" borderId="15" xfId="0" applyFill="1" applyBorder="1"/>
    <xf numFmtId="0" fontId="23" fillId="5" borderId="0" xfId="0" applyFont="1" applyFill="1"/>
    <xf numFmtId="0" fontId="22" fillId="5" borderId="0" xfId="0" applyFont="1" applyFill="1"/>
    <xf numFmtId="0" fontId="25" fillId="5" borderId="0" xfId="0" applyFont="1" applyFill="1"/>
    <xf numFmtId="0" fontId="0" fillId="5" borderId="0" xfId="0" quotePrefix="1" applyFill="1"/>
    <xf numFmtId="0" fontId="0" fillId="9" borderId="13" xfId="0" applyFill="1" applyBorder="1" applyAlignment="1">
      <alignment horizontal="left"/>
    </xf>
    <xf numFmtId="0" fontId="0" fillId="9" borderId="13" xfId="0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/>
    </xf>
    <xf numFmtId="0" fontId="0" fillId="12" borderId="6" xfId="0" applyFill="1" applyBorder="1" applyAlignment="1">
      <alignment horizontal="left" vertical="center"/>
    </xf>
    <xf numFmtId="0" fontId="1" fillId="2" borderId="14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23" fillId="5" borderId="7" xfId="0" applyFont="1" applyFill="1" applyBorder="1"/>
    <xf numFmtId="0" fontId="23" fillId="5" borderId="15" xfId="0" applyFont="1" applyFill="1" applyBorder="1"/>
    <xf numFmtId="0" fontId="28" fillId="14" borderId="0" xfId="0" applyFont="1" applyFill="1"/>
    <xf numFmtId="0" fontId="0" fillId="14" borderId="0" xfId="0" applyFill="1"/>
    <xf numFmtId="0" fontId="27" fillId="14" borderId="0" xfId="0" applyFont="1" applyFill="1"/>
    <xf numFmtId="0" fontId="29" fillId="1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2" fontId="0" fillId="13" borderId="0" xfId="0" applyNumberForma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1" fillId="5" borderId="3" xfId="1" applyFont="1" applyFill="1" applyBorder="1" applyAlignment="1">
      <alignment horizontal="left"/>
    </xf>
    <xf numFmtId="0" fontId="0" fillId="5" borderId="5" xfId="0" applyFill="1" applyBorder="1"/>
    <xf numFmtId="0" fontId="0" fillId="15" borderId="0" xfId="0" applyFill="1" applyAlignment="1">
      <alignment horizontal="left"/>
    </xf>
    <xf numFmtId="0" fontId="0" fillId="9" borderId="0" xfId="0" applyFill="1" applyBorder="1" applyAlignment="1">
      <alignment horizontal="left" vertical="center"/>
    </xf>
    <xf numFmtId="0" fontId="0" fillId="9" borderId="5" xfId="0" applyFill="1" applyBorder="1" applyAlignment="1">
      <alignment horizontal="left"/>
    </xf>
    <xf numFmtId="0" fontId="6" fillId="9" borderId="13" xfId="0" applyFont="1" applyFill="1" applyBorder="1"/>
    <xf numFmtId="0" fontId="6" fillId="9" borderId="13" xfId="0" applyFont="1" applyFill="1" applyBorder="1" applyAlignment="1">
      <alignment horizontal="center"/>
    </xf>
    <xf numFmtId="0" fontId="0" fillId="9" borderId="14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15" fillId="8" borderId="3" xfId="0" applyFont="1" applyFill="1" applyBorder="1"/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29" fillId="4" borderId="3" xfId="0" applyFont="1" applyFill="1" applyBorder="1"/>
    <xf numFmtId="0" fontId="29" fillId="4" borderId="0" xfId="0" applyFont="1" applyFill="1" applyBorder="1"/>
    <xf numFmtId="0" fontId="39" fillId="3" borderId="11" xfId="1" applyFont="1" applyFill="1" applyBorder="1" applyAlignment="1">
      <alignment horizontal="center"/>
    </xf>
    <xf numFmtId="0" fontId="39" fillId="2" borderId="12" xfId="1" applyFont="1" applyFill="1" applyBorder="1" applyAlignment="1">
      <alignment horizontal="center"/>
    </xf>
    <xf numFmtId="0" fontId="39" fillId="2" borderId="5" xfId="1" applyFont="1" applyFill="1" applyBorder="1" applyAlignment="1">
      <alignment horizontal="center"/>
    </xf>
    <xf numFmtId="0" fontId="10" fillId="8" borderId="0" xfId="0" applyFont="1" applyFill="1" applyBorder="1"/>
    <xf numFmtId="0" fontId="2" fillId="5" borderId="0" xfId="1" applyFont="1" applyFill="1" applyBorder="1" applyAlignment="1">
      <alignment horizontal="left" vertical="center"/>
    </xf>
    <xf numFmtId="0" fontId="1" fillId="5" borderId="0" xfId="1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5" fontId="0" fillId="4" borderId="4" xfId="0" applyNumberFormat="1" applyFill="1" applyBorder="1" applyAlignment="1">
      <alignment horizontal="left"/>
    </xf>
    <xf numFmtId="0" fontId="0" fillId="16" borderId="5" xfId="0" applyFill="1" applyBorder="1"/>
    <xf numFmtId="0" fontId="0" fillId="4" borderId="3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44" fillId="5" borderId="3" xfId="1" applyFont="1" applyFill="1" applyBorder="1" applyAlignment="1">
      <alignment horizontal="left"/>
    </xf>
    <xf numFmtId="2" fontId="37" fillId="6" borderId="0" xfId="0" applyNumberFormat="1" applyFont="1" applyFill="1" applyBorder="1" applyAlignment="1">
      <alignment horizontal="center"/>
    </xf>
    <xf numFmtId="0" fontId="42" fillId="5" borderId="5" xfId="1" applyFont="1" applyFill="1" applyBorder="1" applyAlignment="1">
      <alignment horizontal="left"/>
    </xf>
    <xf numFmtId="2" fontId="37" fillId="6" borderId="1" xfId="0" applyNumberFormat="1" applyFont="1" applyFill="1" applyBorder="1" applyAlignment="1">
      <alignment horizontal="center"/>
    </xf>
    <xf numFmtId="11" fontId="38" fillId="5" borderId="1" xfId="0" applyNumberFormat="1" applyFont="1" applyFill="1" applyBorder="1" applyAlignment="1">
      <alignment horizontal="left" vertical="center"/>
    </xf>
    <xf numFmtId="0" fontId="0" fillId="4" borderId="12" xfId="0" applyFill="1" applyBorder="1"/>
    <xf numFmtId="0" fontId="0" fillId="4" borderId="13" xfId="0" applyFill="1" applyBorder="1"/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wrapText="1"/>
    </xf>
    <xf numFmtId="0" fontId="0" fillId="5" borderId="13" xfId="0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164" fontId="29" fillId="4" borderId="0" xfId="0" applyNumberFormat="1" applyFont="1" applyFill="1" applyBorder="1" applyAlignment="1">
      <alignment horizontal="left"/>
    </xf>
    <xf numFmtId="0" fontId="34" fillId="4" borderId="3" xfId="0" applyFont="1" applyFill="1" applyBorder="1"/>
    <xf numFmtId="0" fontId="0" fillId="6" borderId="1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5" fontId="0" fillId="4" borderId="13" xfId="0" applyNumberFormat="1" applyFill="1" applyBorder="1" applyAlignment="1">
      <alignment horizontal="left"/>
    </xf>
    <xf numFmtId="0" fontId="40" fillId="8" borderId="0" xfId="0" applyFont="1" applyFill="1" applyBorder="1"/>
    <xf numFmtId="0" fontId="29" fillId="8" borderId="0" xfId="0" applyFont="1" applyFill="1" applyBorder="1" applyAlignment="1">
      <alignment horizontal="left"/>
    </xf>
    <xf numFmtId="0" fontId="40" fillId="8" borderId="3" xfId="0" applyFont="1" applyFill="1" applyBorder="1"/>
    <xf numFmtId="0" fontId="0" fillId="8" borderId="1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8" borderId="1" xfId="0" applyFont="1" applyFill="1" applyBorder="1"/>
    <xf numFmtId="0" fontId="3" fillId="8" borderId="12" xfId="0" applyFont="1" applyFill="1" applyBorder="1"/>
    <xf numFmtId="0" fontId="3" fillId="8" borderId="13" xfId="0" applyFont="1" applyFill="1" applyBorder="1"/>
    <xf numFmtId="0" fontId="34" fillId="5" borderId="0" xfId="0" applyFont="1" applyFill="1" applyBorder="1"/>
    <xf numFmtId="0" fontId="29" fillId="5" borderId="0" xfId="0" applyFont="1" applyFill="1" applyBorder="1"/>
    <xf numFmtId="0" fontId="34" fillId="5" borderId="3" xfId="0" applyFont="1" applyFill="1" applyBorder="1"/>
    <xf numFmtId="0" fontId="0" fillId="5" borderId="12" xfId="0" applyFill="1" applyBorder="1"/>
    <xf numFmtId="0" fontId="0" fillId="5" borderId="13" xfId="0" applyFill="1" applyBorder="1"/>
    <xf numFmtId="2" fontId="0" fillId="6" borderId="13" xfId="0" applyNumberFormat="1" applyFill="1" applyBorder="1" applyAlignment="1">
      <alignment horizontal="center"/>
    </xf>
    <xf numFmtId="0" fontId="0" fillId="6" borderId="1" xfId="0" applyFill="1" applyBorder="1"/>
    <xf numFmtId="0" fontId="0" fillId="13" borderId="12" xfId="0" applyFill="1" applyBorder="1"/>
    <xf numFmtId="0" fontId="0" fillId="13" borderId="14" xfId="0" applyFill="1" applyBorder="1"/>
    <xf numFmtId="0" fontId="34" fillId="13" borderId="3" xfId="0" applyFont="1" applyFill="1" applyBorder="1"/>
    <xf numFmtId="0" fontId="0" fillId="6" borderId="13" xfId="0" applyFill="1" applyBorder="1"/>
    <xf numFmtId="0" fontId="29" fillId="13" borderId="4" xfId="0" applyFont="1" applyFill="1" applyBorder="1"/>
    <xf numFmtId="0" fontId="44" fillId="5" borderId="5" xfId="1" applyFont="1" applyFill="1" applyBorder="1" applyAlignment="1">
      <alignment horizontal="left"/>
    </xf>
    <xf numFmtId="0" fontId="38" fillId="5" borderId="6" xfId="0" applyFont="1" applyFill="1" applyBorder="1" applyAlignment="1">
      <alignment horizontal="left" vertical="center"/>
    </xf>
    <xf numFmtId="0" fontId="34" fillId="8" borderId="3" xfId="0" applyFont="1" applyFill="1" applyBorder="1"/>
    <xf numFmtId="0" fontId="2" fillId="2" borderId="1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left"/>
    </xf>
    <xf numFmtId="0" fontId="39" fillId="3" borderId="12" xfId="1" applyFont="1" applyFill="1" applyBorder="1" applyAlignment="1">
      <alignment horizontal="center"/>
    </xf>
    <xf numFmtId="0" fontId="1" fillId="2" borderId="13" xfId="1" applyFill="1" applyBorder="1" applyAlignment="1">
      <alignment horizontal="left"/>
    </xf>
    <xf numFmtId="0" fontId="1" fillId="2" borderId="7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0" fillId="16" borderId="6" xfId="0" applyFill="1" applyBorder="1"/>
    <xf numFmtId="0" fontId="1" fillId="2" borderId="12" xfId="1" applyFont="1" applyFill="1" applyBorder="1" applyAlignment="1">
      <alignment horizontal="center"/>
    </xf>
    <xf numFmtId="2" fontId="29" fillId="6" borderId="0" xfId="0" applyNumberFormat="1" applyFont="1" applyFill="1" applyBorder="1" applyAlignment="1">
      <alignment horizontal="center"/>
    </xf>
    <xf numFmtId="0" fontId="29" fillId="7" borderId="3" xfId="0" applyFont="1" applyFill="1" applyBorder="1"/>
    <xf numFmtId="0" fontId="10" fillId="8" borderId="0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39" fillId="3" borderId="8" xfId="1" applyFont="1" applyFill="1" applyBorder="1" applyAlignment="1">
      <alignment horizontal="center" vertical="center"/>
    </xf>
    <xf numFmtId="2" fontId="0" fillId="8" borderId="0" xfId="0" applyNumberFormat="1" applyFill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0" fontId="50" fillId="8" borderId="0" xfId="0" applyFont="1" applyFill="1" applyBorder="1"/>
    <xf numFmtId="0" fontId="39" fillId="2" borderId="3" xfId="1" applyFont="1" applyFill="1" applyBorder="1" applyAlignment="1">
      <alignment horizontal="center"/>
    </xf>
    <xf numFmtId="0" fontId="0" fillId="16" borderId="4" xfId="0" applyFill="1" applyBorder="1"/>
    <xf numFmtId="0" fontId="39" fillId="2" borderId="7" xfId="1" applyFont="1" applyFill="1" applyBorder="1" applyAlignment="1">
      <alignment horizontal="center"/>
    </xf>
    <xf numFmtId="0" fontId="0" fillId="16" borderId="9" xfId="0" applyFill="1" applyBorder="1"/>
    <xf numFmtId="0" fontId="0" fillId="16" borderId="3" xfId="0" applyFill="1" applyBorder="1"/>
    <xf numFmtId="0" fontId="0" fillId="16" borderId="1" xfId="0" applyFill="1" applyBorder="1"/>
    <xf numFmtId="0" fontId="0" fillId="16" borderId="13" xfId="0" applyFill="1" applyBorder="1"/>
    <xf numFmtId="0" fontId="0" fillId="7" borderId="3" xfId="0" applyFill="1" applyBorder="1"/>
    <xf numFmtId="0" fontId="0" fillId="9" borderId="0" xfId="0" applyFill="1" applyAlignment="1">
      <alignment horizontal="left"/>
    </xf>
    <xf numFmtId="2" fontId="0" fillId="10" borderId="0" xfId="0" applyNumberFormat="1" applyFill="1" applyBorder="1" applyAlignment="1">
      <alignment horizontal="left"/>
    </xf>
    <xf numFmtId="0" fontId="18" fillId="9" borderId="0" xfId="0" applyFont="1" applyFill="1" applyBorder="1"/>
    <xf numFmtId="0" fontId="39" fillId="3" borderId="2" xfId="1" applyFont="1" applyFill="1" applyBorder="1" applyAlignment="1">
      <alignment horizontal="center"/>
    </xf>
    <xf numFmtId="0" fontId="39" fillId="3" borderId="10" xfId="1" applyFont="1" applyFill="1" applyBorder="1" applyAlignment="1">
      <alignment horizontal="center"/>
    </xf>
    <xf numFmtId="0" fontId="39" fillId="3" borderId="0" xfId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6" xfId="0" applyFill="1" applyBorder="1" applyAlignment="1">
      <alignment horizontal="left" vertical="center"/>
    </xf>
    <xf numFmtId="165" fontId="13" fillId="6" borderId="0" xfId="0" applyNumberFormat="1" applyFont="1" applyFill="1" applyBorder="1" applyAlignment="1">
      <alignment horizontal="center"/>
    </xf>
    <xf numFmtId="0" fontId="0" fillId="4" borderId="3" xfId="0" applyFill="1" applyBorder="1"/>
    <xf numFmtId="2" fontId="0" fillId="4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2" fontId="0" fillId="8" borderId="0" xfId="0" applyNumberFormat="1" applyFill="1" applyBorder="1" applyAlignment="1">
      <alignment horizontal="center"/>
    </xf>
    <xf numFmtId="0" fontId="0" fillId="5" borderId="0" xfId="0" applyFill="1" applyBorder="1"/>
    <xf numFmtId="2" fontId="0" fillId="4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15" borderId="0" xfId="0" applyFill="1" applyAlignment="1">
      <alignment horizontal="left"/>
    </xf>
    <xf numFmtId="164" fontId="0" fillId="4" borderId="4" xfId="0" applyNumberForma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39" fillId="3" borderId="8" xfId="1" applyFont="1" applyFill="1" applyBorder="1" applyAlignment="1">
      <alignment horizontal="center"/>
    </xf>
    <xf numFmtId="0" fontId="40" fillId="8" borderId="16" xfId="0" applyFont="1" applyFill="1" applyBorder="1"/>
    <xf numFmtId="2" fontId="0" fillId="13" borderId="0" xfId="0" applyNumberForma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0" fillId="5" borderId="4" xfId="0" applyFill="1" applyBorder="1"/>
    <xf numFmtId="0" fontId="20" fillId="5" borderId="3" xfId="0" applyFont="1" applyFill="1" applyBorder="1"/>
    <xf numFmtId="0" fontId="0" fillId="5" borderId="0" xfId="0" applyFont="1" applyFill="1" applyBorder="1" applyAlignment="1">
      <alignment horizontal="center"/>
    </xf>
    <xf numFmtId="2" fontId="13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/>
    <xf numFmtId="0" fontId="0" fillId="5" borderId="14" xfId="0" applyFill="1" applyBorder="1"/>
    <xf numFmtId="2" fontId="37" fillId="5" borderId="0" xfId="0" applyNumberFormat="1" applyFont="1" applyFill="1" applyBorder="1" applyAlignment="1">
      <alignment horizontal="center"/>
    </xf>
    <xf numFmtId="0" fontId="29" fillId="5" borderId="4" xfId="0" applyFont="1" applyFill="1" applyBorder="1"/>
    <xf numFmtId="0" fontId="0" fillId="5" borderId="6" xfId="0" applyFill="1" applyBorder="1"/>
    <xf numFmtId="0" fontId="0" fillId="13" borderId="4" xfId="0" applyFill="1" applyBorder="1" applyAlignment="1">
      <alignment horizontal="left" vertical="center"/>
    </xf>
    <xf numFmtId="0" fontId="0" fillId="13" borderId="3" xfId="0" applyFill="1" applyBorder="1" applyAlignment="1">
      <alignment horizontal="left"/>
    </xf>
    <xf numFmtId="0" fontId="44" fillId="13" borderId="5" xfId="1" applyFont="1" applyFill="1" applyBorder="1" applyAlignment="1">
      <alignment horizontal="left"/>
    </xf>
    <xf numFmtId="0" fontId="38" fillId="13" borderId="6" xfId="0" applyFont="1" applyFill="1" applyBorder="1" applyAlignment="1">
      <alignment horizontal="left" vertical="center"/>
    </xf>
    <xf numFmtId="2" fontId="0" fillId="13" borderId="3" xfId="0" applyNumberFormat="1" applyFill="1" applyBorder="1" applyAlignment="1">
      <alignment horizontal="left"/>
    </xf>
    <xf numFmtId="0" fontId="17" fillId="0" borderId="0" xfId="0" applyFont="1"/>
    <xf numFmtId="0" fontId="0" fillId="17" borderId="0" xfId="0" applyFill="1"/>
    <xf numFmtId="0" fontId="53" fillId="13" borderId="3" xfId="0" applyFont="1" applyFill="1" applyBorder="1"/>
    <xf numFmtId="2" fontId="55" fillId="13" borderId="0" xfId="0" applyNumberFormat="1" applyFont="1" applyFill="1" applyBorder="1" applyAlignment="1">
      <alignment horizontal="center"/>
    </xf>
    <xf numFmtId="0" fontId="55" fillId="13" borderId="4" xfId="0" applyFont="1" applyFill="1" applyBorder="1" applyAlignment="1">
      <alignment horizontal="left"/>
    </xf>
    <xf numFmtId="0" fontId="0" fillId="17" borderId="17" xfId="0" applyFill="1" applyBorder="1"/>
    <xf numFmtId="0" fontId="17" fillId="14" borderId="0" xfId="0" applyFont="1" applyFill="1"/>
    <xf numFmtId="0" fontId="0" fillId="13" borderId="0" xfId="0" quotePrefix="1" applyFill="1"/>
    <xf numFmtId="164" fontId="0" fillId="17" borderId="0" xfId="0" applyNumberFormat="1" applyFill="1"/>
    <xf numFmtId="0" fontId="17" fillId="16" borderId="3" xfId="0" applyFont="1" applyFill="1" applyBorder="1" applyAlignment="1">
      <alignment horizontal="center"/>
    </xf>
    <xf numFmtId="0" fontId="17" fillId="16" borderId="0" xfId="0" applyFont="1" applyFill="1" applyBorder="1" applyAlignment="1">
      <alignment horizontal="center"/>
    </xf>
    <xf numFmtId="0" fontId="17" fillId="16" borderId="4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51" fillId="13" borderId="12" xfId="1" applyFont="1" applyFill="1" applyBorder="1" applyAlignment="1">
      <alignment horizontal="left"/>
    </xf>
    <xf numFmtId="0" fontId="52" fillId="13" borderId="13" xfId="0" applyFont="1" applyFill="1" applyBorder="1" applyAlignment="1">
      <alignment horizontal="left"/>
    </xf>
    <xf numFmtId="0" fontId="52" fillId="13" borderId="14" xfId="0" applyFont="1" applyFill="1" applyBorder="1" applyAlignment="1">
      <alignment horizontal="left"/>
    </xf>
    <xf numFmtId="2" fontId="13" fillId="6" borderId="0" xfId="0" applyNumberFormat="1" applyFont="1" applyFill="1" applyBorder="1" applyAlignment="1">
      <alignment horizontal="center"/>
    </xf>
    <xf numFmtId="0" fontId="15" fillId="7" borderId="12" xfId="0" applyFont="1" applyFill="1" applyBorder="1" applyAlignment="1"/>
    <xf numFmtId="0" fontId="15" fillId="7" borderId="13" xfId="0" applyFont="1" applyFill="1" applyBorder="1" applyAlignment="1"/>
    <xf numFmtId="0" fontId="15" fillId="7" borderId="14" xfId="0" applyFont="1" applyFill="1" applyBorder="1" applyAlignment="1"/>
    <xf numFmtId="0" fontId="8" fillId="5" borderId="12" xfId="1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7" fillId="16" borderId="5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7" fillId="16" borderId="6" xfId="0" applyFont="1" applyFill="1" applyBorder="1" applyAlignment="1">
      <alignment horizontal="center"/>
    </xf>
    <xf numFmtId="0" fontId="39" fillId="2" borderId="13" xfId="1" applyFont="1" applyFill="1" applyBorder="1" applyAlignment="1">
      <alignment horizontal="center"/>
    </xf>
    <xf numFmtId="0" fontId="39" fillId="2" borderId="14" xfId="1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0" fillId="15" borderId="1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9" borderId="0" xfId="0" quotePrefix="1" applyFill="1"/>
    <xf numFmtId="0" fontId="0" fillId="16" borderId="0" xfId="0" applyFill="1" applyAlignment="1">
      <alignment horizontal="left"/>
    </xf>
    <xf numFmtId="0" fontId="20" fillId="16" borderId="15" xfId="0" applyFont="1" applyFill="1" applyBorder="1" applyAlignment="1">
      <alignment horizontal="center"/>
    </xf>
    <xf numFmtId="0" fontId="17" fillId="16" borderId="20" xfId="0" applyFont="1" applyFill="1" applyBorder="1" applyAlignment="1">
      <alignment horizontal="center"/>
    </xf>
    <xf numFmtId="0" fontId="39" fillId="2" borderId="8" xfId="1" applyFont="1" applyFill="1" applyBorder="1" applyAlignment="1">
      <alignment horizontal="center"/>
    </xf>
    <xf numFmtId="0" fontId="17" fillId="16" borderId="8" xfId="0" applyFont="1" applyFill="1" applyBorder="1" applyAlignment="1">
      <alignment horizontal="center"/>
    </xf>
    <xf numFmtId="0" fontId="6" fillId="9" borderId="12" xfId="0" applyFont="1" applyFill="1" applyBorder="1" applyAlignment="1">
      <alignment vertical="center"/>
    </xf>
    <xf numFmtId="0" fontId="6" fillId="9" borderId="12" xfId="0" applyFont="1" applyFill="1" applyBorder="1" applyAlignment="1">
      <alignment horizontal="center"/>
    </xf>
    <xf numFmtId="0" fontId="0" fillId="9" borderId="0" xfId="0" applyFill="1" applyBorder="1" applyAlignment="1">
      <alignment horizontal="right"/>
    </xf>
    <xf numFmtId="0" fontId="56" fillId="0" borderId="18" xfId="0" applyFont="1" applyBorder="1" applyAlignment="1">
      <alignment horizontal="center" wrapText="1"/>
    </xf>
    <xf numFmtId="0" fontId="56" fillId="0" borderId="19" xfId="0" applyFont="1" applyBorder="1" applyAlignment="1">
      <alignment horizontal="center" wrapText="1"/>
    </xf>
    <xf numFmtId="0" fontId="0" fillId="9" borderId="2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5" fillId="0" borderId="1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15" fillId="7" borderId="3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6" fillId="7" borderId="4" xfId="0" applyFont="1" applyFill="1" applyBorder="1" applyAlignment="1">
      <alignment horizontal="left"/>
    </xf>
    <xf numFmtId="0" fontId="34" fillId="7" borderId="3" xfId="0" applyFont="1" applyFill="1" applyBorder="1" applyAlignment="1">
      <alignment horizontal="center" vertical="center"/>
    </xf>
    <xf numFmtId="164" fontId="34" fillId="6" borderId="11" xfId="0" applyNumberFormat="1" applyFont="1" applyFill="1" applyBorder="1" applyAlignment="1">
      <alignment horizontal="center" vertical="center"/>
    </xf>
    <xf numFmtId="164" fontId="34" fillId="6" borderId="10" xfId="0" applyNumberFormat="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</cellXfs>
  <cellStyles count="2">
    <cellStyle name="Normal" xfId="0" builtinId="0"/>
    <cellStyle name="Standard 2" xfId="1"/>
  </cellStyles>
  <dxfs count="10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b val="0"/>
        <i/>
        <color rgb="FFFF0000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B4FCBB"/>
        </patternFill>
      </fill>
    </dxf>
    <dxf>
      <font>
        <b/>
        <i/>
      </font>
      <fill>
        <patternFill>
          <bgColor rgb="FFFF3300"/>
        </patternFill>
      </fill>
    </dxf>
  </dxfs>
  <tableStyles count="0" defaultTableStyle="TableStyleMedium9" defaultPivotStyle="PivotStyleLight16"/>
  <colors>
    <mruColors>
      <color rgb="FFCCFFFF"/>
      <color rgb="FFFF3300"/>
      <color rgb="FFB4FCBB"/>
      <color rgb="FF37A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448916740693339E-2"/>
          <c:y val="0.12267074525384021"/>
          <c:w val="0.86805113455582428"/>
          <c:h val="0.8202995280651977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8240540443677934E-2"/>
                  <c:y val="0.1758865248226950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F4-48B5-BDD7-98C53A382FDD}"/>
                </c:ext>
              </c:extLst>
            </c:dLbl>
            <c:dLbl>
              <c:idx val="1"/>
              <c:layout>
                <c:manualLayout>
                  <c:x val="-4.0543398357253006E-2"/>
                  <c:y val="0.166670902034225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F4-48B5-BDD7-98C53A382FDD}"/>
                </c:ext>
              </c:extLst>
            </c:dLbl>
            <c:dLbl>
              <c:idx val="2"/>
              <c:layout>
                <c:manualLayout>
                  <c:x val="-2.9543783833472084E-2"/>
                  <c:y val="0.2895944602669346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F4-48B5-BDD7-98C53A382FDD}"/>
                </c:ext>
              </c:extLst>
            </c:dLbl>
            <c:dLbl>
              <c:idx val="3"/>
              <c:layout>
                <c:manualLayout>
                  <c:x val="0"/>
                  <c:y val="0.2684072150555648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F4-48B5-BDD7-98C53A382FDD}"/>
                </c:ext>
              </c:extLst>
            </c:dLbl>
            <c:dLbl>
              <c:idx val="4"/>
              <c:layout>
                <c:manualLayout>
                  <c:x val="-0.20177587170563516"/>
                  <c:y val="0.1432624113475177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F4-48B5-BDD7-98C53A382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'Power Calculator'!$B$10:$B$18</c15:sqref>
                  </c15:fullRef>
                </c:ext>
              </c:extLst>
              <c:f>('Power Calculator'!$B$10:$B$15,'Power Calculator'!$B$18)</c:f>
              <c:strCache>
                <c:ptCount val="7"/>
                <c:pt idx="0">
                  <c:v>Pdigital </c:v>
                </c:pt>
                <c:pt idx="1">
                  <c:v>PVreg</c:v>
                </c:pt>
                <c:pt idx="2">
                  <c:v>PVDDS1,2</c:v>
                </c:pt>
                <c:pt idx="3">
                  <c:v>PGDU</c:v>
                </c:pt>
                <c:pt idx="4">
                  <c:v>PCP</c:v>
                </c:pt>
                <c:pt idx="5">
                  <c:v>PBoost</c:v>
                </c:pt>
                <c:pt idx="6">
                  <c:v>PCAN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'Power Calculator'!$C$10:$C$18</c15:sqref>
                  </c15:fullRef>
                </c:ext>
              </c:extLst>
              <c:f>('Power Calculator'!$C$10:$C$15,'Power Calculator'!$C$18)</c:f>
              <c:numCache>
                <c:formatCode>0.00</c:formatCode>
                <c:ptCount val="7"/>
                <c:pt idx="0">
                  <c:v>248.49999999999997</c:v>
                </c:pt>
                <c:pt idx="1">
                  <c:v>15.05</c:v>
                </c:pt>
                <c:pt idx="2">
                  <c:v>15.05</c:v>
                </c:pt>
                <c:pt idx="3">
                  <c:v>228.04687500000003</c:v>
                </c:pt>
                <c:pt idx="4">
                  <c:v>1.1906999999999999</c:v>
                </c:pt>
                <c:pt idx="5">
                  <c:v>0</c:v>
                </c:pt>
                <c:pt idx="6">
                  <c:v>54.268749999999997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'Power Calculator'!$C$17</c15:sqref>
                  <c15:dLbl>
                    <c:idx val="5"/>
                    <c:layout>
                      <c:manualLayout>
                        <c:x val="0.36348218807135768"/>
                        <c:y val="1.276595744680851E-2"/>
                      </c:manualLayout>
                    </c:layout>
                    <c:dLblPos val="bestFit"/>
                    <c:showLegendKey val="1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FEE-4D86-B181-D52C935B20C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51F4-48B5-BDD7-98C53A382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chemeClr val="tx1"/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222251</xdr:colOff>
      <xdr:row>7</xdr:row>
      <xdr:rowOff>127000</xdr:rowOff>
    </xdr:from>
    <xdr:to>
      <xdr:col>19</xdr:col>
      <xdr:colOff>582083</xdr:colOff>
      <xdr:row>21</xdr:row>
      <xdr:rowOff>158750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1" y="1989667"/>
          <a:ext cx="4169832" cy="27199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592667</xdr:colOff>
      <xdr:row>1</xdr:row>
      <xdr:rowOff>105833</xdr:rowOff>
    </xdr:from>
    <xdr:to>
      <xdr:col>5</xdr:col>
      <xdr:colOff>160414</xdr:colOff>
      <xdr:row>4</xdr:row>
      <xdr:rowOff>135363</xdr:rowOff>
    </xdr:to>
    <xdr:pic>
      <xdr:nvPicPr>
        <xdr:cNvPr id="4" name="Picture 3" descr="https://upload.wikimedia.org/wikipedia/commons/thumb/1/13/NXP_Semiconductors_Logo.svg/1000px-NXP_Semiconductors_Logo.sv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7" y="296333"/>
          <a:ext cx="3060247" cy="111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</xdr:colOff>
      <xdr:row>20</xdr:row>
      <xdr:rowOff>71437</xdr:rowOff>
    </xdr:from>
    <xdr:to>
      <xdr:col>3</xdr:col>
      <xdr:colOff>476250</xdr:colOff>
      <xdr:row>30</xdr:row>
      <xdr:rowOff>166687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261936</xdr:colOff>
      <xdr:row>1</xdr:row>
      <xdr:rowOff>59532</xdr:rowOff>
    </xdr:from>
    <xdr:to>
      <xdr:col>3</xdr:col>
      <xdr:colOff>42861</xdr:colOff>
      <xdr:row>4</xdr:row>
      <xdr:rowOff>90574</xdr:rowOff>
    </xdr:to>
    <xdr:pic>
      <xdr:nvPicPr>
        <xdr:cNvPr id="4" name="Picture 3" descr="https://upload.wikimedia.org/wikipedia/commons/thumb/1/13/NXP_Semiconductors_Logo.svg/1000px-NXP_Semiconductors_Logo.svg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250032"/>
          <a:ext cx="3043237" cy="1114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zoomScale="90" zoomScaleNormal="90" workbookViewId="0">
      <selection activeCell="V43" sqref="V43"/>
    </sheetView>
  </sheetViews>
  <sheetFormatPr defaultColWidth="11.42578125" defaultRowHeight="15" x14ac:dyDescent="0.25"/>
  <cols>
    <col min="5" max="5" width="6.7109375" customWidth="1"/>
    <col min="6" max="6" width="8.5703125" customWidth="1"/>
  </cols>
  <sheetData>
    <row r="1" spans="1:20" x14ac:dyDescent="0.25">
      <c r="A1" s="78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81"/>
    </row>
    <row r="2" spans="1:20" x14ac:dyDescent="0.25">
      <c r="A2" s="79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5"/>
      <c r="T2" s="81"/>
    </row>
    <row r="3" spans="1:20" x14ac:dyDescent="0.25">
      <c r="A3" s="79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5"/>
      <c r="T3" s="81"/>
    </row>
    <row r="4" spans="1:20" ht="55.5" x14ac:dyDescent="1.05">
      <c r="A4" s="79"/>
      <c r="B4" s="72"/>
      <c r="C4" s="72"/>
      <c r="D4" s="72"/>
      <c r="E4" s="72"/>
      <c r="F4" s="72"/>
      <c r="G4" s="71" t="s">
        <v>60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5"/>
      <c r="T4" s="81"/>
    </row>
    <row r="5" spans="1:20" x14ac:dyDescent="0.25">
      <c r="A5" s="79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5"/>
      <c r="T5" s="81"/>
    </row>
    <row r="6" spans="1:20" x14ac:dyDescent="0.25">
      <c r="A6" s="79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5"/>
      <c r="T6" s="81"/>
    </row>
    <row r="7" spans="1:20" ht="15.75" thickBot="1" x14ac:dyDescent="0.3">
      <c r="A7" s="80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  <c r="T7" s="81"/>
    </row>
    <row r="8" spans="1:20" ht="15.75" x14ac:dyDescent="0.25">
      <c r="A8" s="81"/>
      <c r="B8" s="104" t="s">
        <v>131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81"/>
      <c r="P8" s="81"/>
      <c r="Q8" s="81"/>
      <c r="R8" s="81"/>
      <c r="S8" s="81"/>
      <c r="T8" s="81"/>
    </row>
    <row r="9" spans="1:20" x14ac:dyDescent="0.25">
      <c r="A9" s="81"/>
      <c r="B9" s="105" t="s">
        <v>134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81"/>
      <c r="P9" s="81"/>
      <c r="Q9" s="81"/>
      <c r="R9" s="81"/>
      <c r="S9" s="81"/>
      <c r="T9" s="81"/>
    </row>
    <row r="10" spans="1:20" x14ac:dyDescent="0.25">
      <c r="A10" s="81"/>
      <c r="B10" s="105" t="s">
        <v>136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81"/>
      <c r="P10" s="81"/>
      <c r="Q10" s="81"/>
      <c r="R10" s="81"/>
      <c r="S10" s="81"/>
      <c r="T10" s="81"/>
    </row>
    <row r="11" spans="1:20" x14ac:dyDescent="0.25">
      <c r="A11" s="81"/>
      <c r="B11" s="105" t="s">
        <v>135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81"/>
      <c r="P11" s="81"/>
      <c r="Q11" s="81"/>
      <c r="R11" s="81"/>
      <c r="S11" s="81"/>
      <c r="T11" s="81"/>
    </row>
    <row r="12" spans="1:20" x14ac:dyDescent="0.25">
      <c r="A12" s="81"/>
      <c r="B12" s="105" t="s">
        <v>133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81"/>
      <c r="P12" s="81"/>
      <c r="Q12" s="81"/>
      <c r="R12" s="81"/>
      <c r="S12" s="81"/>
      <c r="T12" s="81"/>
    </row>
    <row r="13" spans="1:20" x14ac:dyDescent="0.25">
      <c r="A13" s="81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81"/>
      <c r="P13" s="81"/>
      <c r="Q13" s="81"/>
      <c r="R13" s="81"/>
      <c r="S13" s="81"/>
      <c r="T13" s="81"/>
    </row>
    <row r="14" spans="1:20" x14ac:dyDescent="0.25">
      <c r="A14" s="81"/>
      <c r="B14" s="106" t="s">
        <v>132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81"/>
      <c r="P14" s="81"/>
      <c r="Q14" s="81"/>
      <c r="R14" s="81"/>
      <c r="S14" s="81"/>
      <c r="T14" s="81"/>
    </row>
    <row r="15" spans="1:20" x14ac:dyDescent="0.25">
      <c r="A15" s="81"/>
      <c r="B15" s="106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81"/>
      <c r="P15" s="81"/>
      <c r="Q15" s="81"/>
      <c r="R15" s="81"/>
      <c r="S15" s="81"/>
      <c r="T15" s="81"/>
    </row>
    <row r="16" spans="1:20" ht="15.75" x14ac:dyDescent="0.25">
      <c r="A16" s="81"/>
      <c r="B16" s="107" t="s">
        <v>141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81"/>
      <c r="P16" s="81"/>
      <c r="Q16" s="81"/>
      <c r="R16" s="81"/>
      <c r="S16" s="81"/>
      <c r="T16" s="81"/>
    </row>
    <row r="17" spans="1:20" x14ac:dyDescent="0.25">
      <c r="A17" s="81"/>
      <c r="B17" s="105" t="s">
        <v>137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81"/>
      <c r="P17" s="81"/>
      <c r="Q17" s="81"/>
      <c r="R17" s="81"/>
      <c r="S17" s="81"/>
      <c r="T17" s="81"/>
    </row>
    <row r="18" spans="1:20" x14ac:dyDescent="0.25">
      <c r="A18" s="81"/>
      <c r="B18" s="105" t="s">
        <v>142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81"/>
      <c r="P18" s="81"/>
      <c r="Q18" s="81"/>
      <c r="R18" s="81"/>
      <c r="S18" s="81"/>
      <c r="T18" s="81"/>
    </row>
    <row r="19" spans="1:20" x14ac:dyDescent="0.25">
      <c r="A19" s="81"/>
      <c r="B19" s="105" t="s">
        <v>143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81"/>
      <c r="P19" s="81"/>
      <c r="Q19" s="81"/>
      <c r="R19" s="81"/>
      <c r="S19" s="81"/>
      <c r="T19" s="81"/>
    </row>
    <row r="20" spans="1:20" x14ac:dyDescent="0.25">
      <c r="A20" s="81"/>
      <c r="B20" s="105" t="s">
        <v>138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81"/>
      <c r="P20" s="81"/>
      <c r="Q20" s="81"/>
      <c r="R20" s="81"/>
      <c r="S20" s="81"/>
      <c r="T20" s="81"/>
    </row>
    <row r="21" spans="1:20" x14ac:dyDescent="0.25">
      <c r="A21" s="81"/>
      <c r="B21" s="105" t="s">
        <v>139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81"/>
      <c r="P21" s="81"/>
      <c r="Q21" s="81"/>
      <c r="R21" s="81"/>
      <c r="S21" s="81"/>
      <c r="T21" s="81"/>
    </row>
    <row r="22" spans="1:20" x14ac:dyDescent="0.25">
      <c r="A22" s="81"/>
      <c r="B22" s="105" t="s">
        <v>140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81"/>
      <c r="P22" s="81"/>
      <c r="Q22" s="81"/>
      <c r="R22" s="81"/>
      <c r="S22" s="81"/>
      <c r="T22" s="81"/>
    </row>
    <row r="23" spans="1:20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1:20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1:20" x14ac:dyDescent="0.25">
      <c r="A25" s="81"/>
      <c r="B25" s="81" t="s">
        <v>127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0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 x14ac:dyDescent="0.25">
      <c r="A27" s="81"/>
      <c r="B27" s="81" t="s">
        <v>90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 ht="15.75" thickBot="1" x14ac:dyDescent="0.3">
      <c r="A28" s="81"/>
      <c r="B28" s="81" t="s">
        <v>91</v>
      </c>
      <c r="C28" s="84"/>
      <c r="D28" s="84"/>
      <c r="E28" s="84"/>
      <c r="F28" s="84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 ht="15.75" thickBot="1" x14ac:dyDescent="0.3">
      <c r="A29" s="81"/>
      <c r="B29" s="81"/>
      <c r="C29" s="84"/>
      <c r="D29" s="82" t="s">
        <v>67</v>
      </c>
      <c r="E29" s="83"/>
      <c r="F29" s="84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0" x14ac:dyDescent="0.25">
      <c r="A30" s="81"/>
      <c r="B30" s="81" t="s">
        <v>72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0" x14ac:dyDescent="0.25">
      <c r="A31" s="81"/>
      <c r="B31" s="84" t="s">
        <v>68</v>
      </c>
      <c r="C31" s="81"/>
      <c r="D31" s="81"/>
      <c r="E31" s="81"/>
      <c r="F31" s="84" t="s">
        <v>70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0" x14ac:dyDescent="0.25">
      <c r="A32" s="81"/>
      <c r="B32" s="84" t="s">
        <v>69</v>
      </c>
      <c r="C32" s="81"/>
      <c r="D32" s="81"/>
      <c r="E32" s="81"/>
      <c r="F32" s="84" t="s">
        <v>71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81"/>
      <c r="B34" s="81" t="s">
        <v>73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81"/>
      <c r="B35" s="81" t="s">
        <v>126</v>
      </c>
      <c r="C35" s="81"/>
      <c r="D35" s="81"/>
      <c r="E35" s="81"/>
      <c r="F35" s="81"/>
      <c r="G35" s="81"/>
      <c r="H35" s="50"/>
      <c r="I35" s="5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 ht="15.75" thickBot="1" x14ac:dyDescent="0.3">
      <c r="A37" s="81"/>
      <c r="B37" s="81" t="s">
        <v>76</v>
      </c>
      <c r="C37" s="84"/>
      <c r="D37" s="84"/>
      <c r="E37" s="84"/>
      <c r="F37" s="84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 ht="18.75" thickBot="1" x14ac:dyDescent="0.4">
      <c r="A38" s="81"/>
      <c r="B38" s="81"/>
      <c r="C38" s="82" t="s">
        <v>80</v>
      </c>
      <c r="D38" s="102"/>
      <c r="E38" s="102"/>
      <c r="F38" s="103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1:20" x14ac:dyDescent="0.25">
      <c r="A39" s="81"/>
      <c r="B39" s="81" t="s">
        <v>72</v>
      </c>
      <c r="C39" s="84"/>
      <c r="D39" s="84"/>
      <c r="E39" s="84"/>
      <c r="F39" s="84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1:20" x14ac:dyDescent="0.25">
      <c r="A40" s="81"/>
      <c r="B40" s="84" t="s">
        <v>70</v>
      </c>
      <c r="C40" s="81"/>
      <c r="D40" s="81"/>
      <c r="E40" s="81"/>
      <c r="F40" s="84" t="s">
        <v>116</v>
      </c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1:20" x14ac:dyDescent="0.25">
      <c r="A41" s="81"/>
      <c r="B41" s="84" t="s">
        <v>117</v>
      </c>
      <c r="C41" s="81"/>
      <c r="D41" s="81"/>
      <c r="E41" s="81"/>
      <c r="F41" s="84" t="s">
        <v>118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1:20" x14ac:dyDescent="0.25">
      <c r="A42" s="81"/>
      <c r="B42" s="84" t="s">
        <v>119</v>
      </c>
      <c r="C42" s="81"/>
      <c r="D42" s="81"/>
      <c r="E42" s="81"/>
      <c r="F42" s="84" t="s">
        <v>128</v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1:20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 x14ac:dyDescent="0.25">
      <c r="A44" s="81"/>
      <c r="B44" s="81" t="s">
        <v>74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1:20" x14ac:dyDescent="0.25">
      <c r="A45" s="81"/>
      <c r="B45" s="81" t="s">
        <v>75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1:20" ht="15.75" x14ac:dyDescent="0.25">
      <c r="A46" s="81"/>
      <c r="B46" s="85" t="s">
        <v>107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1:20" x14ac:dyDescent="0.25">
      <c r="A47" s="81"/>
      <c r="B47" s="86" t="s">
        <v>355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1:20" x14ac:dyDescent="0.25">
      <c r="A48" s="81"/>
      <c r="B48" s="87" t="s">
        <v>357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1:20" x14ac:dyDescent="0.25">
      <c r="A49" s="81"/>
      <c r="B49" s="87" t="s">
        <v>356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1:20" x14ac:dyDescent="0.25">
      <c r="A50" s="81"/>
      <c r="B50" s="86" t="s">
        <v>77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1:20" x14ac:dyDescent="0.25">
      <c r="A51" s="81"/>
      <c r="B51" s="87" t="s">
        <v>144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1:20" x14ac:dyDescent="0.25">
      <c r="A52" s="81"/>
      <c r="B52" s="87" t="s">
        <v>78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1:20" x14ac:dyDescent="0.25">
      <c r="A53" s="81"/>
      <c r="B53" s="87" t="s">
        <v>79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1:20" x14ac:dyDescent="0.25">
      <c r="A54" s="81"/>
      <c r="B54" s="87" t="s">
        <v>81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1:20" x14ac:dyDescent="0.25">
      <c r="A55" s="81"/>
      <c r="B55" s="86" t="s">
        <v>82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1:20" x14ac:dyDescent="0.25">
      <c r="A56" s="81"/>
      <c r="B56" s="87" t="s">
        <v>84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1:20" x14ac:dyDescent="0.25">
      <c r="A57" s="81"/>
      <c r="B57" s="87" t="s">
        <v>83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1:20" x14ac:dyDescent="0.25">
      <c r="A58" s="81"/>
      <c r="B58" s="86" t="s">
        <v>85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1:20" x14ac:dyDescent="0.25">
      <c r="A59" s="81"/>
      <c r="B59" s="87" t="s">
        <v>129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1:20" x14ac:dyDescent="0.25">
      <c r="A60" s="81"/>
      <c r="B60" s="81" t="s">
        <v>122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1:20" x14ac:dyDescent="0.25">
      <c r="A61" s="81"/>
      <c r="B61" s="87" t="s">
        <v>86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1:20" x14ac:dyDescent="0.25">
      <c r="A62" s="81"/>
      <c r="B62" s="87" t="s">
        <v>87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1:20" x14ac:dyDescent="0.25">
      <c r="A63" s="81"/>
      <c r="B63" s="87" t="s">
        <v>88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1:20" x14ac:dyDescent="0.25">
      <c r="A64" s="81"/>
      <c r="B64" s="87" t="s">
        <v>89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1:20" x14ac:dyDescent="0.25">
      <c r="A65" s="81"/>
      <c r="B65" s="86" t="s">
        <v>92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1:20" x14ac:dyDescent="0.25">
      <c r="A66" s="81"/>
      <c r="B66" s="87" t="s">
        <v>93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1:20" x14ac:dyDescent="0.25">
      <c r="A67" s="81"/>
      <c r="B67" s="87" t="s">
        <v>130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1:20" x14ac:dyDescent="0.25">
      <c r="A68" s="81"/>
      <c r="B68" s="86" t="s">
        <v>94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1:20" x14ac:dyDescent="0.25">
      <c r="A69" s="81"/>
      <c r="B69" s="87" t="s">
        <v>95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1:20" x14ac:dyDescent="0.25">
      <c r="A70" s="81"/>
      <c r="B70" s="87" t="s">
        <v>96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1:20" x14ac:dyDescent="0.25">
      <c r="A71" s="81"/>
      <c r="B71" s="87" t="s">
        <v>97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1:20" x14ac:dyDescent="0.25">
      <c r="A72" s="81"/>
      <c r="B72" s="87" t="s">
        <v>98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1:20" x14ac:dyDescent="0.25">
      <c r="A73" s="81"/>
      <c r="B73" s="86" t="s">
        <v>99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1:20" x14ac:dyDescent="0.25">
      <c r="A74" s="81"/>
      <c r="B74" s="87" t="s">
        <v>100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1:20" x14ac:dyDescent="0.25">
      <c r="A75" s="81"/>
      <c r="B75" s="86" t="s">
        <v>101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1:20" x14ac:dyDescent="0.25">
      <c r="A76" s="81"/>
      <c r="B76" s="87" t="s">
        <v>102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1:20" x14ac:dyDescent="0.25">
      <c r="A77" s="81"/>
      <c r="B77" s="86" t="s">
        <v>103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1:20" x14ac:dyDescent="0.25">
      <c r="A78" s="81"/>
      <c r="B78" s="87" t="s">
        <v>104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1:20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1:20" ht="15.75" x14ac:dyDescent="0.25">
      <c r="A80" s="81"/>
      <c r="B80" s="85" t="s">
        <v>108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1:20" x14ac:dyDescent="0.25">
      <c r="A81" s="81"/>
      <c r="B81" s="81" t="s">
        <v>123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1:20" x14ac:dyDescent="0.25">
      <c r="A82" s="81"/>
      <c r="B82" s="81" t="s">
        <v>105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1:20" x14ac:dyDescent="0.25">
      <c r="A83" s="81"/>
      <c r="B83" s="81" t="s">
        <v>106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1:20" x14ac:dyDescent="0.25">
      <c r="A84" s="81"/>
      <c r="B84" s="81" t="s">
        <v>110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1:20" x14ac:dyDescent="0.25">
      <c r="A85" s="81"/>
      <c r="B85" s="81" t="s">
        <v>121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1:20" x14ac:dyDescent="0.25">
      <c r="A86" s="81"/>
      <c r="B86" s="81" t="s">
        <v>124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1:20" x14ac:dyDescent="0.25">
      <c r="A87" s="81"/>
      <c r="B87" s="81" t="s">
        <v>125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1:20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1:20" ht="15.75" x14ac:dyDescent="0.25">
      <c r="A89" s="81"/>
      <c r="B89" s="85" t="s">
        <v>109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1:20" x14ac:dyDescent="0.25">
      <c r="A90" s="81"/>
      <c r="B90" s="81" t="s">
        <v>112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1:20" x14ac:dyDescent="0.25">
      <c r="A91" s="81"/>
      <c r="B91" s="87" t="s">
        <v>111</v>
      </c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1:20" x14ac:dyDescent="0.25">
      <c r="A92" s="81"/>
      <c r="B92" s="87" t="s">
        <v>114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1:20" x14ac:dyDescent="0.25">
      <c r="A93" s="81"/>
      <c r="B93" s="87" t="s">
        <v>115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1:20" x14ac:dyDescent="0.25">
      <c r="B94" s="87" t="s">
        <v>113</v>
      </c>
    </row>
    <row r="95" spans="1:20" x14ac:dyDescent="0.25">
      <c r="B95" s="81"/>
    </row>
    <row r="96" spans="1:20" x14ac:dyDescent="0.25">
      <c r="B96" s="81"/>
    </row>
  </sheetData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85"/>
  <sheetViews>
    <sheetView topLeftCell="A16" zoomScale="85" zoomScaleNormal="85" workbookViewId="0">
      <pane xSplit="5" topLeftCell="F1" activePane="topRight" state="frozen"/>
      <selection pane="topRight" activeCell="M7" sqref="M7"/>
    </sheetView>
  </sheetViews>
  <sheetFormatPr defaultColWidth="11.42578125" defaultRowHeight="15" x14ac:dyDescent="0.25"/>
  <cols>
    <col min="1" max="1" width="6" customWidth="1"/>
    <col min="2" max="2" width="31.140625" customWidth="1"/>
    <col min="3" max="3" width="17.85546875" style="1" customWidth="1"/>
    <col min="4" max="4" width="9" style="4" customWidth="1"/>
    <col min="5" max="5" width="0.5703125" style="4" customWidth="1"/>
    <col min="6" max="6" width="33.7109375" style="4" customWidth="1"/>
    <col min="7" max="7" width="15.28515625" style="4" customWidth="1"/>
    <col min="8" max="8" width="8.42578125" style="4" customWidth="1"/>
    <col min="9" max="9" width="13.5703125" customWidth="1"/>
    <col min="10" max="10" width="10.5703125" customWidth="1"/>
    <col min="11" max="11" width="9.42578125" style="4" customWidth="1"/>
    <col min="12" max="12" width="11.42578125" style="4"/>
    <col min="13" max="13" width="32.140625" customWidth="1"/>
    <col min="14" max="14" width="14.28515625" style="1" customWidth="1"/>
    <col min="15" max="15" width="7.28515625" customWidth="1"/>
    <col min="16" max="16" width="33.5703125" customWidth="1"/>
    <col min="17" max="17" width="17.85546875" style="1" customWidth="1"/>
    <col min="18" max="18" width="10.28515625" style="4" customWidth="1"/>
    <col min="19" max="19" width="29.5703125" style="4" customWidth="1"/>
    <col min="20" max="20" width="7.85546875" style="1" customWidth="1"/>
    <col min="21" max="21" width="8.140625" style="4" customWidth="1"/>
    <col min="22" max="22" width="30.7109375" customWidth="1"/>
    <col min="23" max="23" width="14.42578125" customWidth="1"/>
    <col min="24" max="24" width="8.7109375" style="4" customWidth="1"/>
    <col min="25" max="25" width="22.42578125" customWidth="1"/>
    <col min="26" max="26" width="12" bestFit="1" customWidth="1"/>
    <col min="28" max="28" width="22.42578125" customWidth="1"/>
    <col min="29" max="29" width="12" bestFit="1" customWidth="1"/>
    <col min="31" max="31" width="22.42578125" customWidth="1"/>
    <col min="32" max="32" width="12" bestFit="1" customWidth="1"/>
  </cols>
  <sheetData>
    <row r="1" spans="1:44" x14ac:dyDescent="0.25">
      <c r="A1" s="78"/>
      <c r="B1" s="73"/>
      <c r="C1" s="89"/>
      <c r="D1" s="88"/>
      <c r="E1" s="93"/>
      <c r="F1" s="88"/>
      <c r="G1" s="88"/>
      <c r="H1" s="88"/>
      <c r="I1" s="73"/>
      <c r="J1" s="73"/>
      <c r="K1" s="88"/>
      <c r="L1" s="88"/>
      <c r="M1" s="73"/>
      <c r="N1" s="89"/>
      <c r="O1" s="73"/>
      <c r="P1" s="73"/>
      <c r="Q1" s="89"/>
      <c r="R1" s="93"/>
      <c r="S1" s="27"/>
      <c r="T1" s="29"/>
      <c r="U1" s="27"/>
      <c r="V1" s="26"/>
      <c r="W1" s="26"/>
      <c r="X1" s="27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x14ac:dyDescent="0.25">
      <c r="A2" s="79"/>
      <c r="B2" s="72"/>
      <c r="C2" s="94"/>
      <c r="D2" s="93"/>
      <c r="E2" s="93"/>
      <c r="F2" s="93"/>
      <c r="G2" s="93"/>
      <c r="H2" s="93"/>
      <c r="I2" s="72"/>
      <c r="J2" s="90"/>
      <c r="K2" s="91"/>
      <c r="L2" s="91"/>
      <c r="M2" s="90"/>
      <c r="N2" s="92"/>
      <c r="O2" s="72"/>
      <c r="P2" s="72"/>
      <c r="Q2" s="94"/>
      <c r="R2" s="93"/>
      <c r="S2" s="27"/>
      <c r="T2" s="29"/>
      <c r="U2" s="27"/>
      <c r="V2" s="26"/>
      <c r="W2" s="26"/>
      <c r="X2" s="27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x14ac:dyDescent="0.25">
      <c r="A3" s="79"/>
      <c r="B3" s="72"/>
      <c r="C3" s="94"/>
      <c r="D3" s="93"/>
      <c r="E3" s="93"/>
      <c r="F3" s="93"/>
      <c r="G3" s="93"/>
      <c r="H3" s="93"/>
      <c r="I3" s="72"/>
      <c r="J3" s="72"/>
      <c r="K3" s="93"/>
      <c r="L3" s="93"/>
      <c r="M3" s="72"/>
      <c r="N3" s="94"/>
      <c r="O3" s="72"/>
      <c r="P3" s="72"/>
      <c r="Q3" s="94"/>
      <c r="R3" s="93"/>
      <c r="S3" s="27"/>
      <c r="T3" s="29"/>
      <c r="U3" s="27"/>
      <c r="V3" s="26"/>
      <c r="W3" s="26"/>
      <c r="X3" s="27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ht="55.5" x14ac:dyDescent="1.05">
      <c r="A4" s="79"/>
      <c r="B4" s="72"/>
      <c r="C4" s="94"/>
      <c r="D4" s="93"/>
      <c r="E4" s="93"/>
      <c r="G4" s="210" t="s">
        <v>351</v>
      </c>
      <c r="J4" s="72"/>
      <c r="K4" s="93"/>
      <c r="L4" s="93"/>
      <c r="M4" s="72"/>
      <c r="R4" s="293" t="s">
        <v>360</v>
      </c>
      <c r="U4" s="27"/>
      <c r="V4" s="26"/>
      <c r="W4" s="26"/>
      <c r="X4" s="208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x14ac:dyDescent="0.25">
      <c r="A5" s="79"/>
      <c r="B5" s="72"/>
      <c r="C5" s="94"/>
      <c r="D5" s="93"/>
      <c r="E5" s="93"/>
      <c r="F5" s="93"/>
      <c r="G5" s="93"/>
      <c r="H5" s="93"/>
      <c r="I5" s="72"/>
      <c r="J5" s="72"/>
      <c r="K5" s="93"/>
      <c r="L5" s="93"/>
      <c r="M5" s="72"/>
      <c r="N5" s="94"/>
      <c r="O5" s="72"/>
      <c r="P5" s="94"/>
      <c r="Q5" s="94"/>
      <c r="R5" s="93"/>
      <c r="S5" s="27"/>
      <c r="T5" s="29"/>
      <c r="U5" s="27"/>
      <c r="V5" s="26"/>
      <c r="W5" s="26"/>
      <c r="X5" s="208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ht="15.75" thickBot="1" x14ac:dyDescent="0.3">
      <c r="A6" s="79"/>
      <c r="B6" s="72"/>
      <c r="C6" s="94"/>
      <c r="D6" s="93"/>
      <c r="E6" s="93"/>
      <c r="F6" s="208"/>
      <c r="G6" s="208"/>
      <c r="H6" s="208"/>
      <c r="I6" s="26"/>
      <c r="J6" s="26"/>
      <c r="K6"/>
      <c r="L6" s="208"/>
      <c r="M6" s="26"/>
      <c r="N6" s="29"/>
      <c r="O6" s="26"/>
      <c r="P6" s="26"/>
      <c r="Q6" s="29"/>
      <c r="R6" s="208"/>
      <c r="S6" s="208"/>
      <c r="T6" s="29"/>
      <c r="U6" s="208"/>
      <c r="V6" s="26"/>
      <c r="W6" s="26"/>
      <c r="X6" s="208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ht="27" thickBot="1" x14ac:dyDescent="0.45">
      <c r="A7" s="78"/>
      <c r="B7" s="118" t="s">
        <v>157</v>
      </c>
      <c r="C7" s="88"/>
      <c r="D7" s="120"/>
      <c r="E7" s="283"/>
      <c r="F7" s="294" t="s">
        <v>352</v>
      </c>
      <c r="G7" s="232" t="s">
        <v>359</v>
      </c>
      <c r="H7" s="208"/>
      <c r="I7" s="26"/>
      <c r="J7" s="26"/>
      <c r="K7" s="208"/>
      <c r="L7" s="208"/>
      <c r="M7" s="26"/>
      <c r="N7" s="29"/>
      <c r="O7" s="26"/>
      <c r="P7" s="26"/>
      <c r="Q7" s="29"/>
      <c r="R7" s="208"/>
      <c r="S7" s="208"/>
      <c r="T7" s="29"/>
      <c r="U7" s="208"/>
      <c r="V7" s="26"/>
      <c r="W7" s="26"/>
      <c r="X7" s="208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ht="16.5" customHeight="1" thickBot="1" x14ac:dyDescent="0.3">
      <c r="A8" s="80"/>
      <c r="B8" s="96"/>
      <c r="C8" s="96"/>
      <c r="D8" s="121" t="s">
        <v>59</v>
      </c>
      <c r="E8" s="115"/>
      <c r="F8" s="295"/>
      <c r="G8" s="284"/>
      <c r="H8" s="26"/>
      <c r="I8" s="26"/>
      <c r="J8" s="26"/>
      <c r="K8" s="208"/>
      <c r="L8" s="208"/>
      <c r="M8" s="26"/>
      <c r="N8" s="29"/>
      <c r="O8" s="26"/>
      <c r="P8" s="26"/>
      <c r="Q8" s="29"/>
      <c r="R8" s="208"/>
      <c r="S8" s="208"/>
      <c r="T8" s="29"/>
      <c r="U8" s="208"/>
      <c r="V8" s="26"/>
      <c r="W8" s="26"/>
      <c r="X8" s="208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1:44" ht="16.5" customHeight="1" thickBot="1" x14ac:dyDescent="0.35">
      <c r="A9" s="302" t="s">
        <v>40</v>
      </c>
      <c r="B9" s="305" t="s">
        <v>23</v>
      </c>
      <c r="C9" s="306"/>
      <c r="D9" s="307"/>
      <c r="E9" s="115"/>
      <c r="F9" s="96"/>
      <c r="G9" s="96"/>
      <c r="H9" s="96"/>
      <c r="I9" s="76"/>
      <c r="J9" s="76"/>
      <c r="K9" s="97"/>
      <c r="L9" s="96"/>
      <c r="M9" s="76"/>
      <c r="N9" s="95"/>
      <c r="O9" s="96"/>
      <c r="P9" s="76"/>
      <c r="Q9" s="94"/>
      <c r="R9" s="72"/>
      <c r="S9" s="26"/>
      <c r="T9" s="29"/>
      <c r="U9" s="26"/>
      <c r="V9" s="296" t="s">
        <v>333</v>
      </c>
      <c r="W9" s="297"/>
      <c r="X9" s="298"/>
      <c r="Y9" s="296" t="s">
        <v>332</v>
      </c>
      <c r="Z9" s="297"/>
      <c r="AA9" s="298"/>
      <c r="AB9" s="296" t="s">
        <v>320</v>
      </c>
      <c r="AC9" s="297"/>
      <c r="AD9" s="298"/>
      <c r="AE9" s="296" t="s">
        <v>319</v>
      </c>
      <c r="AF9" s="297"/>
      <c r="AG9" s="298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1:44" ht="22.5" customHeight="1" x14ac:dyDescent="0.4">
      <c r="A10" s="303"/>
      <c r="B10" s="193" t="s">
        <v>186</v>
      </c>
      <c r="C10" s="125">
        <f>K43</f>
        <v>248.49999999999997</v>
      </c>
      <c r="D10" s="16" t="s">
        <v>8</v>
      </c>
      <c r="E10" s="115"/>
      <c r="F10" s="291" t="s">
        <v>1</v>
      </c>
      <c r="G10" s="27"/>
      <c r="H10" s="27"/>
      <c r="I10" s="291" t="s">
        <v>39</v>
      </c>
      <c r="J10" s="26"/>
      <c r="K10" s="28"/>
      <c r="L10" s="27"/>
      <c r="M10" s="291" t="s">
        <v>238</v>
      </c>
      <c r="N10" s="29"/>
      <c r="O10" s="27"/>
      <c r="P10" s="208"/>
      <c r="Q10" s="73"/>
      <c r="R10" s="73"/>
      <c r="S10" s="291" t="s">
        <v>20</v>
      </c>
      <c r="T10" s="119"/>
      <c r="U10" s="118"/>
      <c r="V10" s="292" t="s">
        <v>37</v>
      </c>
      <c r="W10" s="73"/>
      <c r="X10" s="88"/>
      <c r="Y10" s="291" t="s">
        <v>38</v>
      </c>
      <c r="Z10" s="73"/>
      <c r="AA10" s="74"/>
      <c r="AB10" s="291" t="s">
        <v>239</v>
      </c>
      <c r="AC10" s="73"/>
      <c r="AD10" s="74"/>
      <c r="AE10" s="291" t="s">
        <v>256</v>
      </c>
      <c r="AF10" s="73"/>
      <c r="AG10" s="74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4" ht="16.5" customHeight="1" thickBot="1" x14ac:dyDescent="0.4">
      <c r="A11" s="303"/>
      <c r="B11" s="193" t="s">
        <v>187</v>
      </c>
      <c r="C11" s="125">
        <f>G43</f>
        <v>15.05</v>
      </c>
      <c r="D11" s="16" t="s">
        <v>8</v>
      </c>
      <c r="E11" s="115"/>
      <c r="F11" s="117"/>
      <c r="G11" s="27"/>
      <c r="H11" s="27" t="s">
        <v>58</v>
      </c>
      <c r="I11" s="79"/>
      <c r="J11" s="26"/>
      <c r="K11" s="28"/>
      <c r="L11" s="27" t="s">
        <v>59</v>
      </c>
      <c r="M11" s="80"/>
      <c r="N11" s="29"/>
      <c r="O11" s="27" t="s">
        <v>58</v>
      </c>
      <c r="P11" s="26"/>
      <c r="Q11" s="26"/>
      <c r="R11" s="26" t="s">
        <v>59</v>
      </c>
      <c r="S11" s="79"/>
      <c r="T11" s="29"/>
      <c r="U11" s="26" t="s">
        <v>58</v>
      </c>
      <c r="V11" s="80"/>
      <c r="W11" s="26"/>
      <c r="X11" s="27" t="s">
        <v>58</v>
      </c>
      <c r="Y11" s="80"/>
      <c r="Z11" s="26"/>
      <c r="AA11" s="77" t="s">
        <v>58</v>
      </c>
      <c r="AB11" s="79"/>
      <c r="AC11" s="26"/>
      <c r="AD11" s="75" t="s">
        <v>58</v>
      </c>
      <c r="AE11" s="80"/>
      <c r="AF11" s="26"/>
      <c r="AG11" s="77" t="s">
        <v>58</v>
      </c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1:44" ht="16.5" customHeight="1" thickBot="1" x14ac:dyDescent="0.4">
      <c r="A12" s="303"/>
      <c r="B12" s="193" t="s">
        <v>325</v>
      </c>
      <c r="C12" s="125">
        <f>G35+G40</f>
        <v>15.05</v>
      </c>
      <c r="D12" s="16" t="s">
        <v>8</v>
      </c>
      <c r="E12" s="115"/>
      <c r="F12" s="131" t="s">
        <v>0</v>
      </c>
      <c r="G12" s="130">
        <v>16</v>
      </c>
      <c r="H12" s="100" t="s">
        <v>3</v>
      </c>
      <c r="I12" s="280" t="s">
        <v>193</v>
      </c>
      <c r="J12" s="281"/>
      <c r="K12" s="196">
        <v>50</v>
      </c>
      <c r="L12" s="187" t="s">
        <v>2</v>
      </c>
      <c r="M12" s="131" t="s">
        <v>5</v>
      </c>
      <c r="N12" s="189">
        <f>G17</f>
        <v>15.75</v>
      </c>
      <c r="O12" s="185" t="s">
        <v>3</v>
      </c>
      <c r="P12" s="131" t="s">
        <v>147</v>
      </c>
      <c r="Q12" s="130" t="s">
        <v>145</v>
      </c>
      <c r="R12" s="184"/>
      <c r="S12" s="191" t="s">
        <v>44</v>
      </c>
      <c r="T12" s="186" t="s">
        <v>145</v>
      </c>
      <c r="U12" s="189"/>
      <c r="V12" s="188" t="s">
        <v>46</v>
      </c>
      <c r="W12" s="211" t="s">
        <v>145</v>
      </c>
      <c r="X12" s="14"/>
      <c r="Y12" s="2" t="s">
        <v>327</v>
      </c>
      <c r="Z12" s="211" t="s">
        <v>145</v>
      </c>
      <c r="AA12" s="3"/>
      <c r="AB12" s="2"/>
      <c r="AC12" s="188"/>
      <c r="AD12" s="236"/>
      <c r="AE12" s="2" t="s">
        <v>326</v>
      </c>
      <c r="AF12" s="211" t="s">
        <v>145</v>
      </c>
      <c r="AG12" s="3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1:44" ht="16.5" customHeight="1" thickBot="1" x14ac:dyDescent="0.4">
      <c r="A13" s="303"/>
      <c r="B13" s="193" t="s">
        <v>188</v>
      </c>
      <c r="C13" s="125">
        <f>N43</f>
        <v>228.04687500000003</v>
      </c>
      <c r="D13" s="16" t="s">
        <v>8</v>
      </c>
      <c r="E13" s="115"/>
      <c r="F13" s="200" t="s">
        <v>63</v>
      </c>
      <c r="G13" s="212" t="s">
        <v>242</v>
      </c>
      <c r="H13" s="201"/>
      <c r="I13" s="260"/>
      <c r="J13" s="261"/>
      <c r="K13" s="261"/>
      <c r="L13" s="262"/>
      <c r="M13" s="204"/>
      <c r="N13" s="206"/>
      <c r="O13" s="206"/>
      <c r="P13" s="289" t="s">
        <v>354</v>
      </c>
      <c r="Q13" s="287" t="str">
        <f>IF(G7="S12ZVML12","3-Phase GDU",IF(G7="S12ZVMB","2-phase GDU",IF(G7="S12ZVMA","1-phase GDU",IF(G7="S12ZVM32","3-Phase GDU","3-Phase GDU"))))</f>
        <v>3-Phase GDU</v>
      </c>
      <c r="R13" s="286"/>
      <c r="S13" s="204" t="s">
        <v>45</v>
      </c>
      <c r="T13" s="126">
        <v>3</v>
      </c>
      <c r="U13" s="203"/>
      <c r="V13" s="223" t="s">
        <v>179</v>
      </c>
      <c r="W13" s="227">
        <f>N12</f>
        <v>15.75</v>
      </c>
      <c r="X13" s="224" t="s">
        <v>3</v>
      </c>
      <c r="Y13" s="59" t="s">
        <v>25</v>
      </c>
      <c r="Z13" s="110">
        <f>G17</f>
        <v>15.75</v>
      </c>
      <c r="AA13" s="61" t="s">
        <v>3</v>
      </c>
      <c r="AB13" s="7" t="s">
        <v>240</v>
      </c>
      <c r="AC13" s="55">
        <f>G17</f>
        <v>15.75</v>
      </c>
      <c r="AD13" s="237" t="s">
        <v>3</v>
      </c>
      <c r="AE13" s="59" t="s">
        <v>257</v>
      </c>
      <c r="AF13" s="110">
        <f>G17</f>
        <v>15.75</v>
      </c>
      <c r="AG13" s="61" t="s">
        <v>3</v>
      </c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1:44" ht="16.5" customHeight="1" thickBot="1" x14ac:dyDescent="0.4">
      <c r="A14" s="303"/>
      <c r="B14" s="193" t="s">
        <v>189</v>
      </c>
      <c r="C14" s="125">
        <f>T43</f>
        <v>1.1906999999999999</v>
      </c>
      <c r="D14" s="16" t="s">
        <v>8</v>
      </c>
      <c r="E14" s="115"/>
      <c r="F14" s="132"/>
      <c r="G14" s="202"/>
      <c r="H14" s="101"/>
      <c r="I14" s="277"/>
      <c r="J14" s="278"/>
      <c r="K14" s="278"/>
      <c r="L14" s="279"/>
      <c r="M14" s="139"/>
      <c r="N14" s="205"/>
      <c r="O14" s="205"/>
      <c r="P14" s="290" t="s">
        <v>213</v>
      </c>
      <c r="Q14" s="288" t="str">
        <f>IF(G7="S12ZVML12","v4",IF(G7="S12ZVM32","v5",IF(G7="S12ZVMC256","v6","v5")))</f>
        <v>v6</v>
      </c>
      <c r="R14" s="190"/>
      <c r="S14" s="139"/>
      <c r="T14" s="205"/>
      <c r="U14" s="190"/>
      <c r="V14" s="223"/>
      <c r="W14" s="227"/>
      <c r="X14" s="224"/>
      <c r="Y14" s="59"/>
      <c r="Z14" s="110"/>
      <c r="AA14" s="61"/>
      <c r="AB14" s="7"/>
      <c r="AC14" s="55"/>
      <c r="AD14" s="237"/>
      <c r="AE14" s="266" t="s">
        <v>258</v>
      </c>
      <c r="AF14" s="267"/>
      <c r="AG14" s="268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4" ht="16.5" customHeight="1" thickBot="1" x14ac:dyDescent="0.4">
      <c r="A15" s="303"/>
      <c r="B15" s="193" t="s">
        <v>190</v>
      </c>
      <c r="C15" s="125">
        <f>W43</f>
        <v>0</v>
      </c>
      <c r="D15" s="16" t="s">
        <v>8</v>
      </c>
      <c r="E15" s="115"/>
      <c r="F15" s="273" t="s">
        <v>155</v>
      </c>
      <c r="G15" s="274"/>
      <c r="H15" s="274"/>
      <c r="I15" s="148"/>
      <c r="J15" s="149"/>
      <c r="K15" s="150"/>
      <c r="L15" s="151"/>
      <c r="M15" s="133" t="s">
        <v>42</v>
      </c>
      <c r="N15" s="34"/>
      <c r="O15" s="34"/>
      <c r="P15" s="34"/>
      <c r="Q15" s="34"/>
      <c r="R15" s="45"/>
      <c r="S15" s="226"/>
      <c r="T15" s="51"/>
      <c r="U15" s="226"/>
      <c r="V15" s="220" t="s">
        <v>180</v>
      </c>
      <c r="W15" s="227">
        <f>IF(W13*(W28+W29)/W29&gt;10.8,11,W13*(W28+W29)/W29)</f>
        <v>11</v>
      </c>
      <c r="X15" s="224" t="s">
        <v>3</v>
      </c>
      <c r="Y15" s="59" t="s">
        <v>50</v>
      </c>
      <c r="Z15" s="111">
        <v>20</v>
      </c>
      <c r="AA15" s="61" t="s">
        <v>35</v>
      </c>
      <c r="AB15" s="7" t="s">
        <v>241</v>
      </c>
      <c r="AC15" s="232" t="s">
        <v>145</v>
      </c>
      <c r="AD15" s="237"/>
      <c r="AE15" s="59" t="s">
        <v>262</v>
      </c>
      <c r="AF15" s="111">
        <v>5</v>
      </c>
      <c r="AG15" s="61" t="s">
        <v>3</v>
      </c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</row>
    <row r="16" spans="1:44" ht="16.5" customHeight="1" x14ac:dyDescent="0.35">
      <c r="A16" s="303"/>
      <c r="B16" s="253" t="s">
        <v>330</v>
      </c>
      <c r="C16" s="254">
        <f>Z43</f>
        <v>0</v>
      </c>
      <c r="D16" s="255" t="s">
        <v>8</v>
      </c>
      <c r="E16" s="115"/>
      <c r="F16" s="113" t="s">
        <v>22</v>
      </c>
      <c r="G16" s="5">
        <v>0.25</v>
      </c>
      <c r="H16" s="134" t="s">
        <v>3</v>
      </c>
      <c r="I16" s="140" t="s">
        <v>183</v>
      </c>
      <c r="J16" s="223"/>
      <c r="K16" s="221">
        <f>IF(G17&gt;4.9,5,G17)</f>
        <v>5</v>
      </c>
      <c r="L16" s="11" t="s">
        <v>3</v>
      </c>
      <c r="M16" s="42" t="s">
        <v>197</v>
      </c>
      <c r="N16" s="23">
        <f>IF((N12-0.3)&gt;11,11,N12-0.3)</f>
        <v>11</v>
      </c>
      <c r="O16" s="44" t="s">
        <v>3</v>
      </c>
      <c r="P16" s="34"/>
      <c r="Q16" s="194"/>
      <c r="R16" s="195"/>
      <c r="S16" s="226" t="s">
        <v>182</v>
      </c>
      <c r="T16" s="52">
        <f>N16</f>
        <v>11</v>
      </c>
      <c r="U16" s="226" t="s">
        <v>3</v>
      </c>
      <c r="V16" s="220"/>
      <c r="W16" s="227"/>
      <c r="X16" s="224"/>
      <c r="Y16" s="67" t="s">
        <v>52</v>
      </c>
      <c r="Z16" s="111"/>
      <c r="AA16" s="61"/>
      <c r="AB16" s="228" t="s">
        <v>243</v>
      </c>
      <c r="AC16" s="57">
        <v>50</v>
      </c>
      <c r="AD16" s="13" t="s">
        <v>17</v>
      </c>
      <c r="AE16" s="247" t="s">
        <v>51</v>
      </c>
      <c r="AF16" s="57">
        <v>1</v>
      </c>
      <c r="AG16" s="246" t="s">
        <v>17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1:44" ht="16.5" customHeight="1" thickBot="1" x14ac:dyDescent="0.4">
      <c r="A17" s="303"/>
      <c r="B17" s="253" t="s">
        <v>331</v>
      </c>
      <c r="C17" s="254">
        <f>AC43</f>
        <v>0</v>
      </c>
      <c r="D17" s="255" t="s">
        <v>8</v>
      </c>
      <c r="E17" s="115"/>
      <c r="F17" s="113" t="s">
        <v>24</v>
      </c>
      <c r="G17" s="222">
        <f>G12-G16</f>
        <v>15.75</v>
      </c>
      <c r="H17" s="135" t="s">
        <v>3</v>
      </c>
      <c r="I17" s="140" t="s">
        <v>194</v>
      </c>
      <c r="J17" s="8"/>
      <c r="K17" s="9">
        <f>IF(G7="S12ZVML12",0.48,IF(G7="S12ZVMB",0.67,IF(G7="S12ZVMA",0.67,IF(G7="S12ZVM32",0.411,0.57))))</f>
        <v>0.56999999999999995</v>
      </c>
      <c r="L17" s="230" t="s">
        <v>146</v>
      </c>
      <c r="M17" s="42" t="s">
        <v>172</v>
      </c>
      <c r="N17" s="23">
        <f>N12-N16</f>
        <v>4.75</v>
      </c>
      <c r="O17" s="44" t="s">
        <v>3</v>
      </c>
      <c r="P17" s="133" t="s">
        <v>214</v>
      </c>
      <c r="Q17" s="34"/>
      <c r="R17" s="45"/>
      <c r="S17" s="226" t="s">
        <v>181</v>
      </c>
      <c r="T17" s="222">
        <f>G17+T16-2*0.7</f>
        <v>25.35</v>
      </c>
      <c r="U17" s="226" t="s">
        <v>3</v>
      </c>
      <c r="V17" s="140" t="s">
        <v>219</v>
      </c>
      <c r="W17" s="227">
        <f>K27</f>
        <v>49.699999999999996</v>
      </c>
      <c r="X17" s="224" t="s">
        <v>4</v>
      </c>
      <c r="Y17" s="66" t="s">
        <v>56</v>
      </c>
      <c r="Z17" s="110"/>
      <c r="AA17" s="61"/>
      <c r="AB17" s="7"/>
      <c r="AC17" s="55"/>
      <c r="AD17" s="237"/>
      <c r="AE17" s="248" t="s">
        <v>261</v>
      </c>
      <c r="AF17" s="146">
        <f>AF16*(AF13-0.7)</f>
        <v>15.05</v>
      </c>
      <c r="AG17" s="249" t="s">
        <v>8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</row>
    <row r="18" spans="1:44" ht="16.5" customHeight="1" thickBot="1" x14ac:dyDescent="0.4">
      <c r="A18" s="303"/>
      <c r="B18" s="193" t="s">
        <v>259</v>
      </c>
      <c r="C18" s="125">
        <f>AF43</f>
        <v>54.268749999999997</v>
      </c>
      <c r="D18" s="16" t="s">
        <v>8</v>
      </c>
      <c r="E18" s="115"/>
      <c r="F18" s="113" t="s">
        <v>18</v>
      </c>
      <c r="G18" s="222">
        <f>IF(G17&gt;4.9,5,G17)</f>
        <v>5</v>
      </c>
      <c r="H18" s="135" t="s">
        <v>3</v>
      </c>
      <c r="I18" s="231"/>
      <c r="J18" s="223"/>
      <c r="K18" s="9"/>
      <c r="L18" s="230"/>
      <c r="M18" s="42" t="s">
        <v>230</v>
      </c>
      <c r="N18" s="197">
        <v>0.2</v>
      </c>
      <c r="O18" s="43" t="s">
        <v>4</v>
      </c>
      <c r="P18" s="34" t="s">
        <v>192</v>
      </c>
      <c r="Q18" s="213">
        <v>2</v>
      </c>
      <c r="R18" s="45"/>
      <c r="S18" s="226"/>
      <c r="T18" s="51"/>
      <c r="U18" s="53"/>
      <c r="V18" s="220" t="s">
        <v>220</v>
      </c>
      <c r="W18" s="227">
        <f>Q41</f>
        <v>14.192499999999999</v>
      </c>
      <c r="X18" s="224" t="s">
        <v>4</v>
      </c>
      <c r="Y18" s="59" t="s">
        <v>28</v>
      </c>
      <c r="Z18" s="110">
        <f>(10*0.000001/12)*Z13*1000*Z13</f>
        <v>0.20671874999999998</v>
      </c>
      <c r="AA18" s="61" t="s">
        <v>8</v>
      </c>
      <c r="AB18" s="7" t="s">
        <v>244</v>
      </c>
      <c r="AC18" s="232" t="s">
        <v>145</v>
      </c>
      <c r="AD18" s="237"/>
      <c r="AE18" s="266" t="s">
        <v>264</v>
      </c>
      <c r="AF18" s="267"/>
      <c r="AG18" s="268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</row>
    <row r="19" spans="1:44" ht="16.5" customHeight="1" x14ac:dyDescent="0.35">
      <c r="A19" s="303"/>
      <c r="B19" s="308" t="s">
        <v>191</v>
      </c>
      <c r="C19" s="309">
        <f>C10+C11+C12+C13+C14+C15+C16+C17+C18</f>
        <v>562.10632499999997</v>
      </c>
      <c r="D19" s="311" t="s">
        <v>8</v>
      </c>
      <c r="E19" s="115"/>
      <c r="F19" s="113" t="s">
        <v>19</v>
      </c>
      <c r="G19" s="222">
        <f>IF(G17-G18&gt;0,G17-G18,0)</f>
        <v>10.75</v>
      </c>
      <c r="H19" s="136" t="s">
        <v>3</v>
      </c>
      <c r="I19" s="231"/>
      <c r="J19" s="223"/>
      <c r="K19" s="221"/>
      <c r="L19" s="230"/>
      <c r="M19" s="42" t="s">
        <v>198</v>
      </c>
      <c r="N19" s="197">
        <f xml:space="preserve"> Q37+T19</f>
        <v>14.64</v>
      </c>
      <c r="O19" s="43" t="s">
        <v>4</v>
      </c>
      <c r="P19" s="48" t="s">
        <v>212</v>
      </c>
      <c r="Q19" s="23">
        <f>Q18*0.3</f>
        <v>0.6</v>
      </c>
      <c r="R19" s="45" t="s">
        <v>4</v>
      </c>
      <c r="S19" s="226" t="s">
        <v>176</v>
      </c>
      <c r="T19" s="222">
        <f>T13*N34*0.001</f>
        <v>2.1</v>
      </c>
      <c r="U19" s="226" t="s">
        <v>4</v>
      </c>
      <c r="V19" s="220" t="s">
        <v>159</v>
      </c>
      <c r="W19" s="227">
        <f>IF(G13="Yes",W18,W17+W18)</f>
        <v>63.892499999999998</v>
      </c>
      <c r="X19" s="224" t="s">
        <v>4</v>
      </c>
      <c r="Y19" s="59" t="s">
        <v>26</v>
      </c>
      <c r="Z19" s="111">
        <v>3.17</v>
      </c>
      <c r="AA19" s="61" t="s">
        <v>8</v>
      </c>
      <c r="AB19" s="228" t="s">
        <v>245</v>
      </c>
      <c r="AC19" s="57">
        <v>50</v>
      </c>
      <c r="AD19" s="13" t="s">
        <v>17</v>
      </c>
      <c r="AE19" s="247" t="s">
        <v>266</v>
      </c>
      <c r="AF19" s="57">
        <v>50</v>
      </c>
      <c r="AG19" s="246" t="s">
        <v>14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1:44" ht="16.5" customHeight="1" thickBot="1" x14ac:dyDescent="0.4">
      <c r="A20" s="303"/>
      <c r="B20" s="308"/>
      <c r="C20" s="310"/>
      <c r="D20" s="311"/>
      <c r="E20" s="115"/>
      <c r="F20" s="228"/>
      <c r="G20" s="222"/>
      <c r="H20" s="136"/>
      <c r="I20" s="231"/>
      <c r="J20" s="223"/>
      <c r="K20" s="9"/>
      <c r="L20" s="230"/>
      <c r="M20" s="183" t="s">
        <v>209</v>
      </c>
      <c r="N20" s="269">
        <f>IF(N16&gt;6.2,N17*Q37+N18*N12,0)</f>
        <v>62.715000000000003</v>
      </c>
      <c r="O20" s="44" t="s">
        <v>8</v>
      </c>
      <c r="P20" s="161" t="s">
        <v>211</v>
      </c>
      <c r="Q20" s="235">
        <f xml:space="preserve"> G18*Q19</f>
        <v>3</v>
      </c>
      <c r="R20" s="45" t="s">
        <v>8</v>
      </c>
      <c r="S20" s="226"/>
      <c r="T20" s="222"/>
      <c r="U20" s="226"/>
      <c r="V20" s="220"/>
      <c r="W20" s="227"/>
      <c r="X20" s="224"/>
      <c r="Y20" s="59" t="s">
        <v>27</v>
      </c>
      <c r="Z20" s="112">
        <v>0.14000000000000001</v>
      </c>
      <c r="AA20" s="61" t="s">
        <v>8</v>
      </c>
      <c r="AB20" s="228"/>
      <c r="AC20" s="55"/>
      <c r="AD20" s="237"/>
      <c r="AE20" s="247" t="s">
        <v>265</v>
      </c>
      <c r="AF20" s="57">
        <v>50</v>
      </c>
      <c r="AG20" s="246" t="s">
        <v>14</v>
      </c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</row>
    <row r="21" spans="1:44" ht="16.5" customHeight="1" x14ac:dyDescent="0.35">
      <c r="A21" s="303"/>
      <c r="B21" s="15"/>
      <c r="C21" s="123"/>
      <c r="D21" s="16"/>
      <c r="E21" s="115"/>
      <c r="F21" s="228"/>
      <c r="G21" s="222"/>
      <c r="H21" s="136"/>
      <c r="I21" s="140" t="s">
        <v>219</v>
      </c>
      <c r="J21" s="223" t="s">
        <v>65</v>
      </c>
      <c r="K21" s="221">
        <f>K12*K17</f>
        <v>28.499999999999996</v>
      </c>
      <c r="L21" s="230" t="s">
        <v>4</v>
      </c>
      <c r="M21" s="46"/>
      <c r="N21" s="34"/>
      <c r="O21" s="34"/>
      <c r="P21" s="34"/>
      <c r="Q21" s="34"/>
      <c r="R21" s="45"/>
      <c r="S21" s="226"/>
      <c r="T21" s="222"/>
      <c r="U21" s="226"/>
      <c r="V21" s="220" t="s">
        <v>160</v>
      </c>
      <c r="W21" s="58">
        <v>1.4</v>
      </c>
      <c r="X21" s="224" t="s">
        <v>21</v>
      </c>
      <c r="Y21" s="59" t="s">
        <v>33</v>
      </c>
      <c r="Z21" s="269">
        <f>SUM(Z18:Z20)</f>
        <v>3.5167187499999999</v>
      </c>
      <c r="AA21" s="61" t="s">
        <v>8</v>
      </c>
      <c r="AB21" s="7" t="s">
        <v>246</v>
      </c>
      <c r="AC21" s="55">
        <v>18</v>
      </c>
      <c r="AD21" s="237" t="s">
        <v>247</v>
      </c>
      <c r="AE21" s="59" t="s">
        <v>310</v>
      </c>
      <c r="AF21" s="111">
        <f>AF19*AF20/100</f>
        <v>25</v>
      </c>
      <c r="AG21" s="246" t="s">
        <v>14</v>
      </c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1:44" ht="16.5" customHeight="1" thickBot="1" x14ac:dyDescent="0.4">
      <c r="A22" s="303"/>
      <c r="B22" s="15"/>
      <c r="C22" s="123"/>
      <c r="D22" s="16"/>
      <c r="E22" s="115"/>
      <c r="F22" s="145" t="s">
        <v>185</v>
      </c>
      <c r="G22" s="146">
        <f>(G19*K27)</f>
        <v>534.27499999999998</v>
      </c>
      <c r="H22" s="147" t="s">
        <v>8</v>
      </c>
      <c r="I22" s="140"/>
      <c r="J22" s="223" t="s">
        <v>66</v>
      </c>
      <c r="K22" s="221">
        <f>IF(G7="S12ZVML12",32,IF(G7="S12ZVMB",9.97,IF(G7="S12ZVMA",9.97,IF(G7="S12ZVM32",20.02,21.2))))</f>
        <v>21.2</v>
      </c>
      <c r="L22" s="230" t="s">
        <v>4</v>
      </c>
      <c r="M22" s="41" t="s">
        <v>201</v>
      </c>
      <c r="N22" s="34"/>
      <c r="O22" s="34"/>
      <c r="P22" s="34"/>
      <c r="Q22" s="34"/>
      <c r="R22" s="45"/>
      <c r="S22" s="226"/>
      <c r="T22" s="222"/>
      <c r="U22" s="226"/>
      <c r="V22" s="220" t="s">
        <v>153</v>
      </c>
      <c r="W22" s="227">
        <f>W15*W19/W13</f>
        <v>44.623333333333335</v>
      </c>
      <c r="X22" s="224" t="s">
        <v>4</v>
      </c>
      <c r="Y22" s="59"/>
      <c r="Z22" s="62"/>
      <c r="AA22" s="61"/>
      <c r="AB22" s="7"/>
      <c r="AC22" s="222"/>
      <c r="AD22" s="237"/>
      <c r="AE22" s="59" t="s">
        <v>311</v>
      </c>
      <c r="AF22" s="111">
        <f>100-AF21</f>
        <v>75</v>
      </c>
      <c r="AG22" s="61" t="s">
        <v>14</v>
      </c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1:44" ht="16.5" customHeight="1" x14ac:dyDescent="0.35">
      <c r="A23" s="303"/>
      <c r="B23" s="15"/>
      <c r="C23" s="123"/>
      <c r="D23" s="16"/>
      <c r="E23" s="115"/>
      <c r="F23" s="273" t="s">
        <v>156</v>
      </c>
      <c r="G23" s="274"/>
      <c r="H23" s="275"/>
      <c r="I23" s="140"/>
      <c r="J23" s="223"/>
      <c r="K23" s="234">
        <f>K21+K22</f>
        <v>49.699999999999996</v>
      </c>
      <c r="L23" s="230" t="s">
        <v>4</v>
      </c>
      <c r="M23" s="46" t="s">
        <v>171</v>
      </c>
      <c r="N23" s="282" t="s">
        <v>358</v>
      </c>
      <c r="O23" s="276"/>
      <c r="P23" s="48" t="s">
        <v>218</v>
      </c>
      <c r="Q23" s="23">
        <f>IF(N23="DC motor - HS only", 1, IF(N23="DC motor",2,6))</f>
        <v>6</v>
      </c>
      <c r="R23" s="45"/>
      <c r="S23" s="54" t="s">
        <v>175</v>
      </c>
      <c r="T23" s="222">
        <v>100</v>
      </c>
      <c r="U23" s="54" t="s">
        <v>21</v>
      </c>
      <c r="V23" s="128" t="s">
        <v>161</v>
      </c>
      <c r="W23" s="269">
        <f>IF(W13&lt;10.8,W22 * W22 /1000000 * W21 * W28/(W28+W29) * 1000,0)</f>
        <v>0</v>
      </c>
      <c r="X23" s="224" t="s">
        <v>8</v>
      </c>
      <c r="Y23" s="66" t="s">
        <v>57</v>
      </c>
      <c r="Z23" s="111"/>
      <c r="AA23" s="61"/>
      <c r="AB23" s="238" t="s">
        <v>52</v>
      </c>
      <c r="AC23" s="239"/>
      <c r="AD23" s="237"/>
      <c r="AE23" s="266" t="s">
        <v>295</v>
      </c>
      <c r="AF23" s="267"/>
      <c r="AG23" s="268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44" ht="16.5" customHeight="1" x14ac:dyDescent="0.35">
      <c r="A24" s="303"/>
      <c r="B24" s="15"/>
      <c r="C24" s="123"/>
      <c r="D24" s="16"/>
      <c r="E24" s="115"/>
      <c r="F24" s="7"/>
      <c r="G24" s="222"/>
      <c r="H24" s="13"/>
      <c r="I24" s="231"/>
      <c r="J24" s="223"/>
      <c r="K24" s="221"/>
      <c r="L24" s="230"/>
      <c r="M24" s="46" t="s">
        <v>233</v>
      </c>
      <c r="N24" s="23">
        <f>IF(N23="sine commutation",6,IF(N23="DC motor - HS only",1,2))</f>
        <v>6</v>
      </c>
      <c r="O24" s="44" t="s">
        <v>61</v>
      </c>
      <c r="P24" s="48" t="s">
        <v>234</v>
      </c>
      <c r="Q24" s="23">
        <f>IF(N23="block commutation",2,0)</f>
        <v>0</v>
      </c>
      <c r="R24" s="45"/>
      <c r="S24" s="54" t="s">
        <v>174</v>
      </c>
      <c r="T24" s="222">
        <v>35</v>
      </c>
      <c r="U24" s="226" t="s">
        <v>21</v>
      </c>
      <c r="V24" s="220"/>
      <c r="W24" s="108"/>
      <c r="X24" s="109"/>
      <c r="Y24" s="59" t="s">
        <v>32</v>
      </c>
      <c r="Z24" s="110">
        <f>(328*0.000001/12)*Z13*1000*Z13</f>
        <v>6.7803750000000003</v>
      </c>
      <c r="AA24" s="61" t="s">
        <v>8</v>
      </c>
      <c r="AB24" s="7" t="s">
        <v>248</v>
      </c>
      <c r="AC24" s="240">
        <f>IF(AC15="No",0,1000*(AC16/1000)^2*AC21)</f>
        <v>45.000000000000007</v>
      </c>
      <c r="AD24" s="237" t="s">
        <v>8</v>
      </c>
      <c r="AE24" s="250" t="s">
        <v>313</v>
      </c>
      <c r="AF24" s="110">
        <f>'S12CANPHY Electrical Specs'!D6</f>
        <v>3.8</v>
      </c>
      <c r="AG24" s="246" t="s">
        <v>17</v>
      </c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44" ht="16.5" customHeight="1" x14ac:dyDescent="0.35">
      <c r="A25" s="303"/>
      <c r="B25" s="15"/>
      <c r="C25" s="123"/>
      <c r="D25" s="16"/>
      <c r="E25" s="115"/>
      <c r="F25" s="228" t="s">
        <v>51</v>
      </c>
      <c r="G25" s="57">
        <v>1</v>
      </c>
      <c r="H25" s="13" t="s">
        <v>17</v>
      </c>
      <c r="I25" s="140" t="s">
        <v>166</v>
      </c>
      <c r="J25" s="223"/>
      <c r="K25" s="57">
        <v>0</v>
      </c>
      <c r="L25" s="230" t="s">
        <v>17</v>
      </c>
      <c r="M25" s="46" t="s">
        <v>221</v>
      </c>
      <c r="N25" s="65">
        <v>80</v>
      </c>
      <c r="O25" s="44" t="s">
        <v>6</v>
      </c>
      <c r="P25" s="34" t="s">
        <v>225</v>
      </c>
      <c r="Q25" s="65">
        <v>10000</v>
      </c>
      <c r="R25" s="45" t="s">
        <v>216</v>
      </c>
      <c r="S25" s="226"/>
      <c r="T25" s="222"/>
      <c r="U25" s="226"/>
      <c r="V25" s="220" t="s">
        <v>178</v>
      </c>
      <c r="W25" s="24">
        <v>100</v>
      </c>
      <c r="X25" s="224" t="s">
        <v>7</v>
      </c>
      <c r="Y25" s="59" t="s">
        <v>26</v>
      </c>
      <c r="Z25" s="110">
        <v>5.5</v>
      </c>
      <c r="AA25" s="61" t="s">
        <v>8</v>
      </c>
      <c r="AB25" s="7"/>
      <c r="AC25" s="226"/>
      <c r="AD25" s="237"/>
      <c r="AE25" s="59" t="s">
        <v>312</v>
      </c>
      <c r="AF25" s="110">
        <f>'S12CANPHY Electrical Specs'!D5</f>
        <v>1.7</v>
      </c>
      <c r="AG25" s="61" t="s">
        <v>17</v>
      </c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</row>
    <row r="26" spans="1:44" ht="16.5" customHeight="1" x14ac:dyDescent="0.35">
      <c r="A26" s="303"/>
      <c r="B26" s="15"/>
      <c r="C26" s="123"/>
      <c r="D26" s="16"/>
      <c r="E26" s="115"/>
      <c r="F26" s="228"/>
      <c r="G26" s="222"/>
      <c r="H26" s="13"/>
      <c r="I26" s="220"/>
      <c r="J26" s="223"/>
      <c r="K26" s="221"/>
      <c r="L26" s="138"/>
      <c r="M26" s="46" t="s">
        <v>223</v>
      </c>
      <c r="N26" s="65">
        <v>20</v>
      </c>
      <c r="O26" s="44" t="s">
        <v>9</v>
      </c>
      <c r="P26" s="34" t="s">
        <v>62</v>
      </c>
      <c r="Q26" s="65">
        <v>2</v>
      </c>
      <c r="R26" s="45" t="s">
        <v>43</v>
      </c>
      <c r="S26" s="169" t="s">
        <v>173</v>
      </c>
      <c r="T26" s="269">
        <f>(T23*4*(T19*T19)*0.000001*0.5+T24*4*(T19*T19)*0.000001*0.5)*1000</f>
        <v>1.1906999999999999</v>
      </c>
      <c r="U26" s="226" t="s">
        <v>8</v>
      </c>
      <c r="V26" s="220"/>
      <c r="W26" s="6"/>
      <c r="X26" s="224"/>
      <c r="Y26" s="59" t="s">
        <v>27</v>
      </c>
      <c r="Z26" s="110">
        <v>0.14000000000000001</v>
      </c>
      <c r="AA26" s="61" t="s">
        <v>8</v>
      </c>
      <c r="AB26" s="7" t="s">
        <v>249</v>
      </c>
      <c r="AC26" s="240">
        <f>IF(AC18="No",0,1000*(AC19/1000)^2*AC21)</f>
        <v>45.000000000000007</v>
      </c>
      <c r="AD26" s="237" t="s">
        <v>29</v>
      </c>
      <c r="AE26" s="59" t="s">
        <v>314</v>
      </c>
      <c r="AF26" s="110">
        <f>AF24*(AF21/100)+AF25*(AF22/100)</f>
        <v>2.2249999999999996</v>
      </c>
      <c r="AG26" s="61" t="s">
        <v>4</v>
      </c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</row>
    <row r="27" spans="1:44" ht="16.5" customHeight="1" thickBot="1" x14ac:dyDescent="0.4">
      <c r="A27" s="303"/>
      <c r="B27" s="15"/>
      <c r="C27" s="123"/>
      <c r="D27" s="16"/>
      <c r="E27" s="115"/>
      <c r="F27" s="228"/>
      <c r="G27" s="222"/>
      <c r="H27" s="13"/>
      <c r="I27" s="140" t="s">
        <v>217</v>
      </c>
      <c r="J27" s="223"/>
      <c r="K27" s="234">
        <f>K23+K25</f>
        <v>49.699999999999996</v>
      </c>
      <c r="L27" s="230" t="s">
        <v>4</v>
      </c>
      <c r="M27" s="42" t="s">
        <v>231</v>
      </c>
      <c r="N27" s="23">
        <f>1000*(N24*(N25*0.000000001)*(N26*1000))</f>
        <v>9.6000000000000014</v>
      </c>
      <c r="O27" s="44" t="s">
        <v>4</v>
      </c>
      <c r="P27" s="34" t="s">
        <v>226</v>
      </c>
      <c r="Q27" s="225">
        <f>(Q25/60*Q26)</f>
        <v>333.33333333333331</v>
      </c>
      <c r="R27" s="47" t="s">
        <v>205</v>
      </c>
      <c r="S27" s="226"/>
      <c r="T27" s="222"/>
      <c r="U27" s="226"/>
      <c r="V27" s="220" t="s">
        <v>48</v>
      </c>
      <c r="W27" s="24">
        <v>75</v>
      </c>
      <c r="X27" s="224" t="s">
        <v>14</v>
      </c>
      <c r="Y27" s="59" t="s">
        <v>30</v>
      </c>
      <c r="Z27" s="269">
        <f>SUM(Z24:Z26)</f>
        <v>12.420375</v>
      </c>
      <c r="AA27" s="61" t="s">
        <v>29</v>
      </c>
      <c r="AB27" s="7"/>
      <c r="AC27" s="222"/>
      <c r="AD27" s="237"/>
      <c r="AE27" s="248" t="s">
        <v>316</v>
      </c>
      <c r="AF27" s="269">
        <f>AF26*AF15</f>
        <v>11.124999999999998</v>
      </c>
      <c r="AG27" s="61" t="s">
        <v>8</v>
      </c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</row>
    <row r="28" spans="1:44" ht="16.5" customHeight="1" thickBot="1" x14ac:dyDescent="0.4">
      <c r="A28" s="303"/>
      <c r="B28" s="15"/>
      <c r="C28" s="123"/>
      <c r="D28" s="16"/>
      <c r="E28" s="115"/>
      <c r="F28" s="181" t="s">
        <v>200</v>
      </c>
      <c r="G28" s="146">
        <f>G25*(G17-0.7)</f>
        <v>15.05</v>
      </c>
      <c r="H28" s="182" t="s">
        <v>8</v>
      </c>
      <c r="I28" s="231"/>
      <c r="J28" s="223"/>
      <c r="K28" s="221"/>
      <c r="L28" s="230"/>
      <c r="M28" s="46"/>
      <c r="N28" s="23"/>
      <c r="O28" s="44"/>
      <c r="P28" s="34" t="s">
        <v>222</v>
      </c>
      <c r="Q28" s="225">
        <f>3/2*Q27</f>
        <v>500</v>
      </c>
      <c r="R28" s="45" t="s">
        <v>205</v>
      </c>
      <c r="S28" s="226"/>
      <c r="T28" s="55"/>
      <c r="U28" s="226"/>
      <c r="V28" s="220" t="s">
        <v>150</v>
      </c>
      <c r="W28" s="227">
        <f>(W27/100*1/W25)*1000</f>
        <v>7.5</v>
      </c>
      <c r="X28" s="224" t="s">
        <v>15</v>
      </c>
      <c r="Y28" s="59"/>
      <c r="Z28" s="62"/>
      <c r="AA28" s="61"/>
      <c r="AB28" s="7"/>
      <c r="AC28" s="55"/>
      <c r="AD28" s="237"/>
      <c r="AE28" s="266" t="s">
        <v>315</v>
      </c>
      <c r="AF28" s="267"/>
      <c r="AG28" s="268"/>
      <c r="AH28" s="26" t="s">
        <v>299</v>
      </c>
      <c r="AI28" s="26"/>
      <c r="AJ28" s="26"/>
      <c r="AK28" s="26"/>
      <c r="AL28" s="26"/>
      <c r="AM28" s="26"/>
      <c r="AN28" s="26"/>
      <c r="AO28" s="26"/>
      <c r="AP28" s="26"/>
      <c r="AQ28" s="26"/>
      <c r="AR28" s="26"/>
    </row>
    <row r="29" spans="1:44" ht="16.5" customHeight="1" thickBot="1" x14ac:dyDescent="0.4">
      <c r="A29" s="303"/>
      <c r="B29" s="15"/>
      <c r="C29" s="123"/>
      <c r="D29" s="16"/>
      <c r="E29" s="115"/>
      <c r="F29" s="228"/>
      <c r="G29" s="222"/>
      <c r="H29" s="13"/>
      <c r="I29" s="220"/>
      <c r="J29" s="223"/>
      <c r="K29" s="221"/>
      <c r="L29" s="138"/>
      <c r="M29" s="42"/>
      <c r="N29" s="23"/>
      <c r="O29" s="44"/>
      <c r="P29" s="34" t="s">
        <v>232</v>
      </c>
      <c r="Q29" s="198">
        <f>IF(N23="block commutation",Q28*(N25*0.000000001)*1000*Q24,0)</f>
        <v>0</v>
      </c>
      <c r="R29" s="45" t="s">
        <v>4</v>
      </c>
      <c r="S29" s="226"/>
      <c r="T29" s="222"/>
      <c r="U29" s="226"/>
      <c r="V29" s="220" t="s">
        <v>151</v>
      </c>
      <c r="W29" s="227">
        <f>((100-W27)/100*1/W25)*1000</f>
        <v>2.5</v>
      </c>
      <c r="X29" s="224" t="s">
        <v>15</v>
      </c>
      <c r="Y29" s="59" t="s">
        <v>49</v>
      </c>
      <c r="Z29" s="269">
        <f>(Z21+Z27)*0.5</f>
        <v>7.9685468749999995</v>
      </c>
      <c r="AA29" s="61" t="s">
        <v>8</v>
      </c>
      <c r="AB29" s="7"/>
      <c r="AC29" s="226"/>
      <c r="AD29" s="237"/>
      <c r="AE29" s="59" t="s">
        <v>296</v>
      </c>
      <c r="AF29" s="110">
        <v>3</v>
      </c>
      <c r="AG29" s="61" t="s">
        <v>3</v>
      </c>
      <c r="AH29" s="26" t="s">
        <v>298</v>
      </c>
      <c r="AI29" s="26"/>
      <c r="AJ29" s="26"/>
      <c r="AK29" s="26"/>
      <c r="AL29" s="26"/>
      <c r="AM29" s="26"/>
      <c r="AN29" s="26"/>
      <c r="AO29" s="26"/>
      <c r="AP29" s="26"/>
      <c r="AQ29" s="26"/>
      <c r="AR29" s="26"/>
    </row>
    <row r="30" spans="1:44" ht="16.5" customHeight="1" thickBot="1" x14ac:dyDescent="0.4">
      <c r="A30" s="303"/>
      <c r="B30" s="207"/>
      <c r="C30" s="123"/>
      <c r="D30" s="16"/>
      <c r="E30" s="115"/>
      <c r="F30" s="263" t="s">
        <v>353</v>
      </c>
      <c r="G30" s="264"/>
      <c r="H30" s="265"/>
      <c r="I30" s="220"/>
      <c r="J30" s="223"/>
      <c r="K30" s="221"/>
      <c r="L30" s="138"/>
      <c r="M30" s="42" t="s">
        <v>206</v>
      </c>
      <c r="N30" s="269">
        <f>N27*N16</f>
        <v>105.60000000000002</v>
      </c>
      <c r="O30" s="44" t="s">
        <v>8</v>
      </c>
      <c r="P30" s="34" t="s">
        <v>207</v>
      </c>
      <c r="Q30" s="219">
        <f>Q29*N16</f>
        <v>0</v>
      </c>
      <c r="R30" s="45" t="s">
        <v>8</v>
      </c>
      <c r="S30" s="226"/>
      <c r="T30" s="222"/>
      <c r="U30" s="226"/>
      <c r="V30" s="220" t="s">
        <v>152</v>
      </c>
      <c r="W30" s="24">
        <v>100</v>
      </c>
      <c r="X30" s="224" t="s">
        <v>16</v>
      </c>
      <c r="Y30" s="59"/>
      <c r="Z30" s="60"/>
      <c r="AA30" s="61"/>
      <c r="AB30" s="7"/>
      <c r="AC30" s="241"/>
      <c r="AD30" s="237"/>
      <c r="AE30" s="59" t="s">
        <v>297</v>
      </c>
      <c r="AF30" s="110">
        <v>0.05</v>
      </c>
      <c r="AG30" s="61" t="s">
        <v>3</v>
      </c>
      <c r="AH30" s="285" t="s">
        <v>300</v>
      </c>
      <c r="AI30" s="26"/>
      <c r="AJ30" s="26"/>
      <c r="AK30" s="26"/>
      <c r="AL30" s="26"/>
      <c r="AM30" s="26"/>
      <c r="AN30" s="26"/>
      <c r="AO30" s="26"/>
      <c r="AP30" s="26"/>
      <c r="AQ30" s="26"/>
      <c r="AR30" s="26"/>
    </row>
    <row r="31" spans="1:44" ht="16.5" customHeight="1" thickBot="1" x14ac:dyDescent="0.4">
      <c r="A31" s="304"/>
      <c r="B31" s="17"/>
      <c r="C31" s="124"/>
      <c r="D31" s="18"/>
      <c r="E31" s="115"/>
      <c r="F31" s="273" t="s">
        <v>321</v>
      </c>
      <c r="G31" s="274"/>
      <c r="H31" s="275"/>
      <c r="I31" s="231"/>
      <c r="J31" s="223"/>
      <c r="K31" s="221"/>
      <c r="L31" s="230"/>
      <c r="M31" s="183" t="s">
        <v>224</v>
      </c>
      <c r="N31" s="269">
        <f>N30+Q30</f>
        <v>105.60000000000002</v>
      </c>
      <c r="O31" s="269"/>
      <c r="P31" s="269"/>
      <c r="Q31" s="269"/>
      <c r="R31" s="45" t="s">
        <v>8</v>
      </c>
      <c r="S31" s="226"/>
      <c r="T31" s="222"/>
      <c r="U31" s="226"/>
      <c r="V31" s="220" t="s">
        <v>149</v>
      </c>
      <c r="W31" s="6">
        <f>(W13/W30)*W28*1000</f>
        <v>1181.25</v>
      </c>
      <c r="X31" s="224" t="s">
        <v>17</v>
      </c>
      <c r="Y31" s="67" t="s">
        <v>53</v>
      </c>
      <c r="Z31" s="60"/>
      <c r="AA31" s="61"/>
      <c r="AB31" s="238" t="s">
        <v>53</v>
      </c>
      <c r="AC31" s="241" t="s">
        <v>250</v>
      </c>
      <c r="AD31" s="237"/>
      <c r="AE31" s="59" t="s">
        <v>260</v>
      </c>
      <c r="AF31" s="57">
        <v>60</v>
      </c>
      <c r="AG31" s="61" t="s">
        <v>247</v>
      </c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</row>
    <row r="32" spans="1:44" ht="16.5" customHeight="1" thickBot="1" x14ac:dyDescent="0.4">
      <c r="A32" s="299" t="s">
        <v>41</v>
      </c>
      <c r="B32" s="122" t="s">
        <v>41</v>
      </c>
      <c r="C32" s="19"/>
      <c r="D32" s="20"/>
      <c r="E32" s="229"/>
      <c r="F32" s="228" t="s">
        <v>328</v>
      </c>
      <c r="G32" s="232" t="s">
        <v>242</v>
      </c>
      <c r="H32" s="13"/>
      <c r="I32" s="220"/>
      <c r="J32" s="223"/>
      <c r="K32" s="221"/>
      <c r="L32" s="138"/>
      <c r="M32" s="34"/>
      <c r="N32" s="34"/>
      <c r="O32" s="34"/>
      <c r="P32" s="34"/>
      <c r="Q32" s="34"/>
      <c r="R32" s="45"/>
      <c r="S32" s="226"/>
      <c r="T32" s="222"/>
      <c r="U32" s="226"/>
      <c r="V32" s="220" t="s">
        <v>148</v>
      </c>
      <c r="W32" s="227">
        <f>W22+W31/2</f>
        <v>635.24833333333333</v>
      </c>
      <c r="X32" s="224" t="s">
        <v>4</v>
      </c>
      <c r="Y32" s="59"/>
      <c r="Z32" s="60"/>
      <c r="AA32" s="61"/>
      <c r="AB32" s="7"/>
      <c r="AC32" s="241"/>
      <c r="AD32" s="237"/>
      <c r="AE32" s="59" t="s">
        <v>304</v>
      </c>
      <c r="AF32" s="110">
        <f>1000*AF29/AF31</f>
        <v>50</v>
      </c>
      <c r="AG32" s="61" t="s">
        <v>4</v>
      </c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</row>
    <row r="33" spans="1:44" ht="16.5" customHeight="1" x14ac:dyDescent="0.35">
      <c r="A33" s="301"/>
      <c r="B33" s="25"/>
      <c r="C33" s="19"/>
      <c r="D33" s="20"/>
      <c r="E33" s="115"/>
      <c r="F33" s="228" t="s">
        <v>51</v>
      </c>
      <c r="G33" s="57">
        <v>1</v>
      </c>
      <c r="H33" s="13" t="s">
        <v>17</v>
      </c>
      <c r="I33" s="231"/>
      <c r="J33" s="223"/>
      <c r="K33" s="221"/>
      <c r="L33" s="230"/>
      <c r="M33" s="41" t="s">
        <v>202</v>
      </c>
      <c r="N33" s="23"/>
      <c r="O33" s="44"/>
      <c r="P33" s="270" t="s">
        <v>167</v>
      </c>
      <c r="Q33" s="271"/>
      <c r="R33" s="272"/>
      <c r="S33" s="226"/>
      <c r="T33" s="222"/>
      <c r="U33" s="226"/>
      <c r="V33" s="128" t="s">
        <v>162</v>
      </c>
      <c r="W33" s="70">
        <f>IF(W13&lt;10.8,(((1/6* (W22-W31/2)/1000 *(0.7+W15)*0.00000004*W25*1000)+(1/6* (W22+W31/2)/1000*(0.7+W15)*0.00000004*W25*1000))*1000),0)</f>
        <v>0</v>
      </c>
      <c r="X33" s="224" t="s">
        <v>8</v>
      </c>
      <c r="Y33" s="59" t="s">
        <v>55</v>
      </c>
      <c r="Z33" s="110">
        <v>1.4</v>
      </c>
      <c r="AA33" s="61" t="s">
        <v>36</v>
      </c>
      <c r="AB33" s="7"/>
      <c r="AC33" s="55"/>
      <c r="AD33" s="237"/>
      <c r="AE33" s="59" t="s">
        <v>305</v>
      </c>
      <c r="AF33" s="110">
        <f>1000*AF30/AF31</f>
        <v>0.83333333333333337</v>
      </c>
      <c r="AG33" s="61" t="s">
        <v>4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ht="16.5" customHeight="1" x14ac:dyDescent="0.35">
      <c r="A34" s="301"/>
      <c r="B34" s="21" t="s">
        <v>11</v>
      </c>
      <c r="C34" s="5">
        <v>80</v>
      </c>
      <c r="D34" s="20" t="s">
        <v>13</v>
      </c>
      <c r="E34" s="115"/>
      <c r="F34" s="228"/>
      <c r="G34" s="222"/>
      <c r="H34" s="13"/>
      <c r="I34" s="220"/>
      <c r="J34" s="223"/>
      <c r="K34" s="221"/>
      <c r="L34" s="138"/>
      <c r="M34" s="46" t="s">
        <v>227</v>
      </c>
      <c r="N34" s="23">
        <f xml:space="preserve"> IF(Q14="v5",600,700)</f>
        <v>700</v>
      </c>
      <c r="O34" s="44" t="s">
        <v>10</v>
      </c>
      <c r="P34" s="207" t="s">
        <v>230</v>
      </c>
      <c r="Q34" s="32">
        <f>N18</f>
        <v>0.2</v>
      </c>
      <c r="R34" s="16" t="s">
        <v>4</v>
      </c>
      <c r="S34" s="226"/>
      <c r="T34" s="222"/>
      <c r="U34" s="226"/>
      <c r="V34" s="220"/>
      <c r="W34" s="227"/>
      <c r="X34" s="224"/>
      <c r="Y34" s="59" t="s">
        <v>54</v>
      </c>
      <c r="Z34" s="269">
        <f>Z13*Z33</f>
        <v>22.049999999999997</v>
      </c>
      <c r="AA34" s="61" t="s">
        <v>8</v>
      </c>
      <c r="AB34" s="7" t="s">
        <v>251</v>
      </c>
      <c r="AC34" s="240">
        <v>0</v>
      </c>
      <c r="AD34" s="237" t="s">
        <v>8</v>
      </c>
      <c r="AE34" s="59" t="s">
        <v>306</v>
      </c>
      <c r="AF34" s="110">
        <f>AF32*(AF21/100)+AF33*(AF22/100)</f>
        <v>13.125</v>
      </c>
      <c r="AG34" s="61" t="s">
        <v>4</v>
      </c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ht="16.5" customHeight="1" thickBot="1" x14ac:dyDescent="0.4">
      <c r="A35" s="301"/>
      <c r="B35" s="21" t="s">
        <v>34</v>
      </c>
      <c r="C35" s="5">
        <v>26</v>
      </c>
      <c r="D35" s="20" t="s">
        <v>12</v>
      </c>
      <c r="E35" s="115"/>
      <c r="F35" s="181" t="s">
        <v>323</v>
      </c>
      <c r="G35" s="146">
        <f>IF(G7="S12ZVMC256",IF(G32="Yes",G33*(G$17-0.7),0),0)</f>
        <v>0</v>
      </c>
      <c r="H35" s="182" t="s">
        <v>8</v>
      </c>
      <c r="I35" s="231"/>
      <c r="J35" s="223"/>
      <c r="K35" s="221"/>
      <c r="L35" s="230"/>
      <c r="M35" s="46" t="s">
        <v>228</v>
      </c>
      <c r="N35" s="23">
        <f xml:space="preserve"> IF(Q14="v5",200,280)</f>
        <v>280</v>
      </c>
      <c r="O35" s="44" t="s">
        <v>10</v>
      </c>
      <c r="P35" s="31" t="s">
        <v>235</v>
      </c>
      <c r="Q35" s="209">
        <f>N36</f>
        <v>2.94</v>
      </c>
      <c r="R35" s="16" t="s">
        <v>4</v>
      </c>
      <c r="S35" s="226"/>
      <c r="T35" s="222"/>
      <c r="U35" s="226"/>
      <c r="V35" s="220" t="s">
        <v>154</v>
      </c>
      <c r="W35" s="227" t="str">
        <f>IF((W22-(W31/2))&gt;0,"Continuous","Discontinuous")</f>
        <v>Discontinuous</v>
      </c>
      <c r="X35" s="224"/>
      <c r="Y35" s="59"/>
      <c r="Z35" s="62"/>
      <c r="AA35" s="61"/>
      <c r="AB35" s="7"/>
      <c r="AC35" s="226"/>
      <c r="AD35" s="237"/>
      <c r="AE35" s="59" t="s">
        <v>317</v>
      </c>
      <c r="AF35" s="110">
        <f>AF15*AF34</f>
        <v>65.625</v>
      </c>
      <c r="AG35" s="61" t="s">
        <v>8</v>
      </c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ht="16.5" customHeight="1" thickBot="1" x14ac:dyDescent="0.4">
      <c r="A36" s="301"/>
      <c r="B36" s="21"/>
      <c r="C36" s="19"/>
      <c r="D36" s="20"/>
      <c r="E36" s="115"/>
      <c r="F36" s="273" t="s">
        <v>322</v>
      </c>
      <c r="G36" s="274"/>
      <c r="H36" s="275"/>
      <c r="I36" s="231"/>
      <c r="J36" s="223"/>
      <c r="K36" s="221"/>
      <c r="L36" s="230"/>
      <c r="M36" s="46" t="s">
        <v>229</v>
      </c>
      <c r="N36" s="23">
        <f>IF(N24=6,N24/2*N34*0.001+N24/2*N35*0.001,N24*N34*0.001+(Q23-N24)*N35*0.001)</f>
        <v>2.94</v>
      </c>
      <c r="O36" s="44" t="s">
        <v>4</v>
      </c>
      <c r="P36" s="31" t="s">
        <v>236</v>
      </c>
      <c r="Q36" s="209">
        <f>IF(N24=6,N27,N27+Q29)</f>
        <v>9.6000000000000014</v>
      </c>
      <c r="R36" s="16" t="s">
        <v>4</v>
      </c>
      <c r="S36" s="226"/>
      <c r="T36" s="222"/>
      <c r="U36" s="226"/>
      <c r="V36" s="220"/>
      <c r="W36" s="227"/>
      <c r="X36" s="224"/>
      <c r="Y36" s="59"/>
      <c r="Z36" s="62"/>
      <c r="AA36" s="61"/>
      <c r="AB36" s="7" t="s">
        <v>252</v>
      </c>
      <c r="AC36" s="240">
        <v>0</v>
      </c>
      <c r="AD36" s="237" t="s">
        <v>8</v>
      </c>
      <c r="AE36" s="59"/>
      <c r="AF36" s="110"/>
      <c r="AG36" s="61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16.5" customHeight="1" thickBot="1" x14ac:dyDescent="0.4">
      <c r="A37" s="301"/>
      <c r="B37" s="21" t="s">
        <v>64</v>
      </c>
      <c r="C37" s="22">
        <f>C34+(C19*0.001*C35)</f>
        <v>94.614764449999996</v>
      </c>
      <c r="D37" s="20" t="s">
        <v>13</v>
      </c>
      <c r="E37" s="115"/>
      <c r="F37" s="228" t="s">
        <v>329</v>
      </c>
      <c r="G37" s="232" t="s">
        <v>145</v>
      </c>
      <c r="H37" s="13"/>
      <c r="I37" s="220"/>
      <c r="J37" s="223"/>
      <c r="K37" s="221"/>
      <c r="L37" s="138"/>
      <c r="M37" s="163" t="s">
        <v>208</v>
      </c>
      <c r="N37" s="269">
        <f>G17*N36</f>
        <v>46.305</v>
      </c>
      <c r="O37" s="44" t="s">
        <v>8</v>
      </c>
      <c r="P37" s="31" t="s">
        <v>199</v>
      </c>
      <c r="Q37" s="32">
        <f>Q35+Q36</f>
        <v>12.540000000000001</v>
      </c>
      <c r="R37" s="16" t="s">
        <v>4</v>
      </c>
      <c r="S37" s="226"/>
      <c r="T37" s="222"/>
      <c r="U37" s="226"/>
      <c r="V37" s="220"/>
      <c r="W37" s="227"/>
      <c r="X37" s="224"/>
      <c r="Y37" s="59"/>
      <c r="Z37" s="62"/>
      <c r="AA37" s="61"/>
      <c r="AB37" s="7"/>
      <c r="AC37" s="226"/>
      <c r="AD37" s="237"/>
      <c r="AE37" s="59" t="s">
        <v>307</v>
      </c>
      <c r="AF37" s="110">
        <f>AF29*AF32</f>
        <v>150</v>
      </c>
      <c r="AG37" s="61" t="s">
        <v>8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16.5" customHeight="1" x14ac:dyDescent="0.35">
      <c r="A38" s="301"/>
      <c r="B38" s="21"/>
      <c r="C38" s="19"/>
      <c r="D38" s="20"/>
      <c r="E38" s="115"/>
      <c r="F38" s="228" t="s">
        <v>51</v>
      </c>
      <c r="G38" s="57">
        <v>1</v>
      </c>
      <c r="H38" s="13" t="s">
        <v>17</v>
      </c>
      <c r="I38" s="231"/>
      <c r="J38" s="223"/>
      <c r="K38" s="221"/>
      <c r="L38" s="230"/>
      <c r="M38" s="46"/>
      <c r="N38" s="23"/>
      <c r="O38" s="48"/>
      <c r="P38" s="207" t="s">
        <v>203</v>
      </c>
      <c r="Q38" s="33">
        <f>Q19</f>
        <v>0.6</v>
      </c>
      <c r="R38" s="16" t="s">
        <v>17</v>
      </c>
      <c r="S38" s="226"/>
      <c r="T38" s="222"/>
      <c r="U38" s="226"/>
      <c r="V38" s="220" t="s">
        <v>168</v>
      </c>
      <c r="W38" s="98">
        <f>1/(W22-W19)</f>
        <v>-5.1896380227479139E-2</v>
      </c>
      <c r="X38" s="127"/>
      <c r="Y38" s="59"/>
      <c r="Z38" s="62"/>
      <c r="AA38" s="61"/>
      <c r="AB38" s="7"/>
      <c r="AC38" s="226"/>
      <c r="AD38" s="237"/>
      <c r="AE38" s="59" t="s">
        <v>308</v>
      </c>
      <c r="AF38" s="110">
        <f>AF30*AF33</f>
        <v>4.1666666666666671E-2</v>
      </c>
      <c r="AG38" s="61" t="s">
        <v>8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ht="16.5" customHeight="1" x14ac:dyDescent="0.35">
      <c r="A39" s="301"/>
      <c r="B39" s="35" t="s">
        <v>47</v>
      </c>
      <c r="C39" s="36"/>
      <c r="D39" s="37"/>
      <c r="E39" s="115"/>
      <c r="F39" s="228"/>
      <c r="G39" s="222"/>
      <c r="H39" s="13"/>
      <c r="I39" s="220"/>
      <c r="J39" s="223"/>
      <c r="K39" s="221"/>
      <c r="L39" s="138"/>
      <c r="M39" s="48" t="s">
        <v>204</v>
      </c>
      <c r="N39" s="34"/>
      <c r="O39" s="45"/>
      <c r="P39" s="207" t="s">
        <v>177</v>
      </c>
      <c r="Q39" s="33">
        <f>N40</f>
        <v>0.85250000000000004</v>
      </c>
      <c r="R39" s="16" t="s">
        <v>17</v>
      </c>
      <c r="S39" s="226"/>
      <c r="T39" s="222"/>
      <c r="U39" s="226"/>
      <c r="V39" s="220" t="s">
        <v>169</v>
      </c>
      <c r="W39" s="98">
        <f>1/W19</f>
        <v>1.5651289274954024E-2</v>
      </c>
      <c r="X39" s="127"/>
      <c r="Y39" s="59"/>
      <c r="Z39" s="62"/>
      <c r="AA39" s="61"/>
      <c r="AB39" s="7" t="s">
        <v>253</v>
      </c>
      <c r="AC39" s="240">
        <f>AC24+AC34</f>
        <v>45.000000000000007</v>
      </c>
      <c r="AD39" s="237" t="s">
        <v>31</v>
      </c>
      <c r="AE39" s="59" t="s">
        <v>309</v>
      </c>
      <c r="AF39" s="110">
        <f>AF37*AF21/100+AF38*AF22/100</f>
        <v>37.53125</v>
      </c>
      <c r="AG39" s="61" t="s">
        <v>8</v>
      </c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ht="16.5" customHeight="1" thickBot="1" x14ac:dyDescent="0.4">
      <c r="A40" s="301"/>
      <c r="B40" s="35" t="s">
        <v>120</v>
      </c>
      <c r="C40" s="38">
        <f>(C42-C34)/(C19*0.001)</f>
        <v>169.00717137456155</v>
      </c>
      <c r="D40" s="37" t="s">
        <v>12</v>
      </c>
      <c r="E40" s="115"/>
      <c r="F40" s="181" t="s">
        <v>324</v>
      </c>
      <c r="G40" s="146">
        <f>IF(G7="S12ZVMC256",IF(G37="Yes",G38*(G$17-0.7),0),0)</f>
        <v>15.05</v>
      </c>
      <c r="H40" s="182" t="s">
        <v>8</v>
      </c>
      <c r="I40" s="231"/>
      <c r="J40" s="223"/>
      <c r="K40" s="221"/>
      <c r="L40" s="230"/>
      <c r="M40" s="199" t="s">
        <v>237</v>
      </c>
      <c r="N40" s="225">
        <f>0.13+(N12 / 63000*1000)+(3*(N12/100000*1000))</f>
        <v>0.85250000000000004</v>
      </c>
      <c r="O40" s="34" t="s">
        <v>4</v>
      </c>
      <c r="P40" s="17"/>
      <c r="Q40" s="30"/>
      <c r="R40" s="18"/>
      <c r="S40" s="226"/>
      <c r="T40" s="222"/>
      <c r="U40" s="226"/>
      <c r="V40" s="220" t="s">
        <v>170</v>
      </c>
      <c r="W40" s="227">
        <f>W38/(W39+W38)</f>
        <v>1.4318181818181817</v>
      </c>
      <c r="X40" s="69"/>
      <c r="Y40" s="59"/>
      <c r="Z40" s="62"/>
      <c r="AA40" s="61"/>
      <c r="AB40" s="7" t="s">
        <v>254</v>
      </c>
      <c r="AC40" s="240">
        <f>AC26+AC36</f>
        <v>45.000000000000007</v>
      </c>
      <c r="AD40" s="237" t="s">
        <v>31</v>
      </c>
      <c r="AE40" s="59" t="s">
        <v>318</v>
      </c>
      <c r="AF40" s="269">
        <f>AF35-AF39</f>
        <v>28.09375</v>
      </c>
      <c r="AG40" s="61" t="s">
        <v>8</v>
      </c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ht="16.5" customHeight="1" thickBot="1" x14ac:dyDescent="0.4">
      <c r="A41" s="300"/>
      <c r="B41" s="39"/>
      <c r="C41" s="40"/>
      <c r="D41" s="99"/>
      <c r="E41" s="115"/>
      <c r="F41" s="228"/>
      <c r="G41" s="222"/>
      <c r="H41" s="136"/>
      <c r="I41" s="231"/>
      <c r="J41" s="223"/>
      <c r="K41" s="221"/>
      <c r="L41" s="230"/>
      <c r="M41" s="233" t="s">
        <v>210</v>
      </c>
      <c r="N41" s="269">
        <f>N12*N40</f>
        <v>13.426875000000001</v>
      </c>
      <c r="O41" s="34" t="s">
        <v>8</v>
      </c>
      <c r="P41" s="17" t="s">
        <v>158</v>
      </c>
      <c r="Q41" s="30">
        <f>Q34+Q37+Q38+Q39</f>
        <v>14.192499999999999</v>
      </c>
      <c r="R41" s="18" t="s">
        <v>4</v>
      </c>
      <c r="S41" s="226"/>
      <c r="T41" s="222"/>
      <c r="U41" s="226"/>
      <c r="V41" s="220"/>
      <c r="W41" s="227"/>
      <c r="X41" s="223"/>
      <c r="Y41" s="59"/>
      <c r="Z41" s="62"/>
      <c r="AA41" s="61"/>
      <c r="AB41" s="7"/>
      <c r="AC41" s="226"/>
      <c r="AD41" s="237"/>
      <c r="AE41" s="59"/>
      <c r="AF41" s="62"/>
      <c r="AG41" s="61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ht="16.5" customHeight="1" x14ac:dyDescent="0.25">
      <c r="A42" s="299"/>
      <c r="B42" s="214" t="s">
        <v>215</v>
      </c>
      <c r="C42" s="5">
        <v>175</v>
      </c>
      <c r="D42" s="215" t="s">
        <v>13</v>
      </c>
      <c r="E42" s="27"/>
      <c r="F42" s="142"/>
      <c r="G42" s="156"/>
      <c r="H42" s="152"/>
      <c r="I42" s="148"/>
      <c r="J42" s="149"/>
      <c r="K42" s="158"/>
      <c r="L42" s="160"/>
      <c r="M42" s="167"/>
      <c r="N42" s="156"/>
      <c r="O42" s="168"/>
      <c r="P42" s="164"/>
      <c r="Q42" s="168"/>
      <c r="R42" s="164"/>
      <c r="S42" s="172"/>
      <c r="T42" s="156"/>
      <c r="U42" s="173"/>
      <c r="V42" s="148"/>
      <c r="W42" s="174"/>
      <c r="X42" s="149"/>
      <c r="Y42" s="176"/>
      <c r="Z42" s="179"/>
      <c r="AA42" s="177"/>
      <c r="AB42" s="172"/>
      <c r="AC42" s="173"/>
      <c r="AD42" s="242"/>
      <c r="AE42" s="176"/>
      <c r="AF42" s="179"/>
      <c r="AG42" s="177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ht="16.5" customHeight="1" thickBot="1" x14ac:dyDescent="0.4">
      <c r="A43" s="300"/>
      <c r="B43" s="216"/>
      <c r="C43" s="217"/>
      <c r="D43" s="218"/>
      <c r="E43" s="27"/>
      <c r="F43" s="143" t="s">
        <v>184</v>
      </c>
      <c r="G43" s="192">
        <f>IF(G13="No",G28,G22)</f>
        <v>15.05</v>
      </c>
      <c r="H43" s="153" t="s">
        <v>8</v>
      </c>
      <c r="I43" s="155" t="s">
        <v>163</v>
      </c>
      <c r="J43" s="129"/>
      <c r="K43" s="144">
        <f>K23*K16</f>
        <v>248.49999999999997</v>
      </c>
      <c r="L43" s="154" t="s">
        <v>8</v>
      </c>
      <c r="M43" s="163" t="s">
        <v>164</v>
      </c>
      <c r="N43" s="144">
        <f>IF(Q12="Yes",N20+N31+N37+N41,0)</f>
        <v>228.04687500000003</v>
      </c>
      <c r="O43" s="162" t="s">
        <v>8</v>
      </c>
      <c r="P43" s="48"/>
      <c r="Q43" s="23"/>
      <c r="R43" s="23"/>
      <c r="S43" s="171" t="s">
        <v>165</v>
      </c>
      <c r="T43" s="144">
        <f>IF(T12="Yes",T26,0)</f>
        <v>1.1906999999999999</v>
      </c>
      <c r="U43" s="170" t="s">
        <v>8</v>
      </c>
      <c r="V43" s="155" t="s">
        <v>196</v>
      </c>
      <c r="W43" s="144">
        <f>IF(G7&lt;&gt;"S12ZVMB",IF(W12="No",0,(W33+W23)*W40),0)</f>
        <v>0</v>
      </c>
      <c r="X43" s="129" t="s">
        <v>31</v>
      </c>
      <c r="Y43" s="178" t="s">
        <v>195</v>
      </c>
      <c r="Z43" s="144">
        <f>IF(G7&lt;&gt;"S12ZVMC256",IF(Z12="YES",Z29+Z34,0),0)</f>
        <v>0</v>
      </c>
      <c r="AA43" s="180" t="s">
        <v>31</v>
      </c>
      <c r="AB43" s="171" t="s">
        <v>255</v>
      </c>
      <c r="AC43" s="243">
        <f>IF(G7="S12ZVMB",(AC39+AC40),0)</f>
        <v>0</v>
      </c>
      <c r="AD43" s="244" t="s">
        <v>31</v>
      </c>
      <c r="AE43" s="178" t="s">
        <v>301</v>
      </c>
      <c r="AF43" s="144">
        <f>IF(G7="S12ZVMC256",IF(AF12="YES",AF17+AF27+AF40,0),0)</f>
        <v>54.268749999999997</v>
      </c>
      <c r="AG43" s="180" t="s">
        <v>31</v>
      </c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</row>
    <row r="44" spans="1:44" ht="15.75" thickBot="1" x14ac:dyDescent="0.3">
      <c r="B44" s="26"/>
      <c r="C44" s="29"/>
      <c r="D44" s="27"/>
      <c r="E44" s="26"/>
      <c r="F44" s="141"/>
      <c r="G44" s="157"/>
      <c r="H44" s="137"/>
      <c r="I44" s="68"/>
      <c r="J44" s="10"/>
      <c r="K44" s="159"/>
      <c r="L44" s="12"/>
      <c r="M44" s="49"/>
      <c r="N44" s="157"/>
      <c r="O44" s="166"/>
      <c r="P44" s="165"/>
      <c r="Q44" s="166"/>
      <c r="R44" s="165"/>
      <c r="S44" s="114"/>
      <c r="T44" s="157"/>
      <c r="U44" s="56"/>
      <c r="V44" s="68"/>
      <c r="W44" s="175"/>
      <c r="X44" s="10"/>
      <c r="Y44" s="63"/>
      <c r="Z44" s="175"/>
      <c r="AA44" s="64"/>
      <c r="AB44" s="114"/>
      <c r="AC44" s="56"/>
      <c r="AD44" s="245"/>
      <c r="AE44" s="63"/>
      <c r="AF44" s="175"/>
      <c r="AG44" s="64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1:44" x14ac:dyDescent="0.25">
      <c r="B45" s="26"/>
      <c r="C45" s="29" t="s">
        <v>350</v>
      </c>
      <c r="D45" s="27"/>
      <c r="E45" s="26"/>
      <c r="F45" s="26"/>
      <c r="G45" s="26"/>
      <c r="H45" s="208"/>
      <c r="I45" s="26"/>
      <c r="J45" s="26"/>
      <c r="K45" s="208"/>
      <c r="L45" s="208"/>
      <c r="M45" s="26"/>
      <c r="N45" s="29"/>
      <c r="O45" s="26"/>
      <c r="P45" s="26"/>
      <c r="Q45" s="29"/>
      <c r="R45" s="208"/>
      <c r="S45" s="208"/>
      <c r="T45" s="29"/>
      <c r="U45" s="208"/>
      <c r="V45" s="26"/>
      <c r="W45" s="26"/>
      <c r="X45" s="208"/>
      <c r="Y45" s="26"/>
      <c r="Z45" s="26"/>
      <c r="AA45" s="26"/>
      <c r="AB45" s="26"/>
      <c r="AC45" s="26"/>
      <c r="AD45" s="26"/>
      <c r="AE45" s="266" t="s">
        <v>263</v>
      </c>
      <c r="AF45" s="267"/>
      <c r="AG45" s="268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</row>
    <row r="46" spans="1:44" x14ac:dyDescent="0.25">
      <c r="A46" s="26"/>
      <c r="B46" s="26"/>
      <c r="C46" s="29"/>
      <c r="D46" s="27"/>
      <c r="E46" s="26"/>
      <c r="F46" s="116"/>
      <c r="G46" s="116"/>
      <c r="H46" s="116"/>
      <c r="I46" s="26"/>
      <c r="J46" s="26"/>
      <c r="K46" s="208"/>
      <c r="L46" s="208"/>
      <c r="M46" s="26"/>
      <c r="N46" s="29"/>
      <c r="O46" s="26"/>
      <c r="P46" s="26"/>
      <c r="Q46" s="29"/>
      <c r="R46" s="208"/>
      <c r="S46" s="208"/>
      <c r="T46" s="29"/>
      <c r="U46" s="208"/>
      <c r="V46" s="26"/>
      <c r="W46" s="26"/>
      <c r="X46" s="208"/>
      <c r="Y46" s="26"/>
      <c r="Z46" s="26"/>
      <c r="AA46" s="26"/>
      <c r="AB46" s="26"/>
      <c r="AC46" s="26"/>
      <c r="AD46" s="26"/>
      <c r="AE46" s="59" t="s">
        <v>302</v>
      </c>
      <c r="AF46" s="110">
        <f>AF26+AF34</f>
        <v>15.35</v>
      </c>
      <c r="AG46" s="61" t="s">
        <v>4</v>
      </c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</row>
    <row r="47" spans="1:44" ht="16.5" thickBot="1" x14ac:dyDescent="0.3">
      <c r="A47" s="26"/>
      <c r="B47" s="26"/>
      <c r="C47" s="29"/>
      <c r="D47" s="27"/>
      <c r="E47" s="26"/>
      <c r="F47" s="208"/>
      <c r="G47" s="208"/>
      <c r="H47" s="26"/>
      <c r="I47" s="28"/>
      <c r="J47" s="26"/>
      <c r="K47" s="208"/>
      <c r="L47" s="208"/>
      <c r="M47" s="26"/>
      <c r="N47" s="29"/>
      <c r="O47" s="26"/>
      <c r="P47" s="26"/>
      <c r="Q47" s="29"/>
      <c r="R47" s="208"/>
      <c r="S47" s="208"/>
      <c r="T47" s="29"/>
      <c r="U47" s="208"/>
      <c r="V47" s="26"/>
      <c r="W47" s="26"/>
      <c r="X47" s="208"/>
      <c r="Y47" s="26"/>
      <c r="Z47" s="26"/>
      <c r="AA47" s="26"/>
      <c r="AB47" s="26"/>
      <c r="AC47" s="26"/>
      <c r="AD47" s="26"/>
      <c r="AE47" s="63" t="s">
        <v>303</v>
      </c>
      <c r="AF47" s="144">
        <f>AF46*(AF13-AF15)</f>
        <v>165.01249999999999</v>
      </c>
      <c r="AG47" s="64" t="s">
        <v>8</v>
      </c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</row>
    <row r="48" spans="1:44" x14ac:dyDescent="0.25">
      <c r="A48" s="26"/>
      <c r="B48" s="26"/>
      <c r="C48" s="29"/>
      <c r="D48" s="27"/>
      <c r="E48" s="27"/>
      <c r="F48" s="27"/>
      <c r="G48" s="27"/>
      <c r="H48" s="27"/>
      <c r="I48" s="26"/>
      <c r="J48" s="26"/>
      <c r="K48" s="27"/>
      <c r="L48" s="27"/>
      <c r="M48" s="26"/>
      <c r="N48" s="29"/>
      <c r="O48" s="26"/>
      <c r="P48" s="26"/>
      <c r="Q48" s="29"/>
      <c r="R48" s="27"/>
      <c r="S48" s="27"/>
      <c r="T48" s="29"/>
      <c r="U48" s="27"/>
      <c r="V48" s="26"/>
      <c r="W48" s="26"/>
      <c r="X48" s="27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</row>
    <row r="49" spans="1:44" x14ac:dyDescent="0.25">
      <c r="A49" s="26"/>
      <c r="B49" s="26"/>
      <c r="C49" s="29"/>
      <c r="D49" s="27"/>
      <c r="I49" s="26"/>
      <c r="J49" s="26"/>
      <c r="K49" s="27"/>
      <c r="L49" s="27"/>
      <c r="M49" s="26"/>
      <c r="N49" s="29"/>
      <c r="O49" s="26"/>
      <c r="P49" s="26"/>
      <c r="Q49" s="29"/>
      <c r="R49" s="27"/>
      <c r="S49" s="27"/>
      <c r="T49" s="29"/>
      <c r="U49" s="27"/>
      <c r="V49" s="26"/>
      <c r="W49" s="26"/>
      <c r="X49" s="27"/>
      <c r="Y49" s="26"/>
      <c r="Z49" s="26"/>
      <c r="AA49" s="26"/>
      <c r="AB49" s="26"/>
      <c r="AC49" s="26"/>
      <c r="AD49" s="26"/>
      <c r="AE49" s="26"/>
      <c r="AF49" s="26"/>
      <c r="AG49" s="26"/>
      <c r="AJ49" s="26"/>
      <c r="AK49" s="26"/>
      <c r="AL49" s="26"/>
      <c r="AM49" s="26"/>
      <c r="AN49" s="26"/>
      <c r="AO49" s="26"/>
      <c r="AP49" s="26"/>
      <c r="AQ49" s="26"/>
      <c r="AR49" s="26"/>
    </row>
    <row r="50" spans="1:44" s="26" customFormat="1" x14ac:dyDescent="0.25">
      <c r="C50" s="29"/>
      <c r="D50" s="208"/>
      <c r="E50" s="208"/>
      <c r="F50" s="208"/>
      <c r="G50" s="208"/>
      <c r="H50" s="208"/>
      <c r="K50" s="208"/>
      <c r="L50" s="208"/>
      <c r="N50" s="29"/>
      <c r="Q50" s="29"/>
      <c r="R50" s="208"/>
      <c r="S50" s="208"/>
      <c r="T50" s="29"/>
      <c r="U50" s="208"/>
      <c r="X50" s="208"/>
    </row>
    <row r="51" spans="1:44" s="26" customFormat="1" x14ac:dyDescent="0.25">
      <c r="C51" s="29"/>
      <c r="D51" s="208"/>
      <c r="E51" s="208"/>
      <c r="F51" s="208"/>
      <c r="G51" s="208"/>
      <c r="H51" s="208"/>
      <c r="K51" s="208"/>
      <c r="L51" s="208"/>
      <c r="N51" s="29"/>
      <c r="Q51" s="29"/>
      <c r="R51" s="208"/>
      <c r="S51" s="208"/>
      <c r="T51" s="29"/>
      <c r="U51" s="208"/>
      <c r="X51" s="208"/>
    </row>
    <row r="52" spans="1:44" s="26" customFormat="1" x14ac:dyDescent="0.25">
      <c r="C52" s="29"/>
      <c r="D52" s="208"/>
      <c r="E52" s="208"/>
      <c r="F52" s="208"/>
      <c r="G52" s="208"/>
      <c r="H52" s="208"/>
      <c r="K52" s="208"/>
      <c r="L52" s="208"/>
      <c r="N52" s="29"/>
      <c r="Q52" s="29"/>
      <c r="R52" s="208"/>
      <c r="S52" s="208"/>
      <c r="T52" s="29"/>
      <c r="U52" s="208"/>
      <c r="X52" s="208"/>
    </row>
    <row r="53" spans="1:44" s="26" customFormat="1" x14ac:dyDescent="0.25">
      <c r="C53" s="29"/>
      <c r="D53" s="208"/>
      <c r="E53" s="208"/>
      <c r="F53" s="208"/>
      <c r="G53" s="208"/>
      <c r="H53" s="208"/>
      <c r="K53" s="208"/>
      <c r="L53" s="208"/>
      <c r="N53" s="29"/>
      <c r="Q53" s="29"/>
      <c r="R53" s="208"/>
      <c r="S53" s="208"/>
      <c r="T53" s="29"/>
      <c r="U53" s="208"/>
      <c r="X53" s="208"/>
    </row>
    <row r="54" spans="1:44" s="26" customFormat="1" x14ac:dyDescent="0.25">
      <c r="C54" s="29"/>
      <c r="D54" s="208"/>
      <c r="E54" s="208"/>
      <c r="F54" s="208"/>
      <c r="G54" s="208"/>
      <c r="H54" s="208"/>
      <c r="K54" s="208"/>
      <c r="L54" s="208"/>
      <c r="N54" s="29"/>
      <c r="Q54" s="29"/>
      <c r="R54" s="208"/>
      <c r="S54" s="208"/>
      <c r="T54" s="29"/>
      <c r="U54" s="208"/>
      <c r="X54" s="208"/>
    </row>
    <row r="55" spans="1:44" s="26" customFormat="1" x14ac:dyDescent="0.25">
      <c r="C55" s="29"/>
      <c r="D55" s="208"/>
      <c r="E55" s="208"/>
      <c r="F55" s="208"/>
      <c r="G55" s="208"/>
      <c r="H55" s="208"/>
      <c r="K55" s="208"/>
      <c r="L55" s="208"/>
      <c r="N55" s="29"/>
      <c r="Q55" s="29"/>
      <c r="R55" s="208"/>
      <c r="S55" s="208"/>
      <c r="T55" s="29"/>
      <c r="U55" s="208"/>
      <c r="X55" s="208"/>
    </row>
    <row r="56" spans="1:44" s="26" customFormat="1" x14ac:dyDescent="0.25">
      <c r="C56" s="29"/>
      <c r="D56" s="208"/>
      <c r="E56" s="208"/>
      <c r="F56" s="208"/>
      <c r="G56" s="208"/>
      <c r="H56" s="208"/>
      <c r="K56" s="208"/>
      <c r="L56" s="208"/>
      <c r="N56" s="29"/>
      <c r="Q56" s="29"/>
      <c r="R56" s="208"/>
      <c r="S56" s="208"/>
      <c r="T56" s="29"/>
      <c r="U56" s="208"/>
      <c r="X56" s="208"/>
    </row>
    <row r="57" spans="1:44" s="26" customFormat="1" x14ac:dyDescent="0.25">
      <c r="C57" s="29"/>
      <c r="D57" s="208"/>
      <c r="E57" s="208"/>
      <c r="F57" s="208"/>
      <c r="G57" s="208"/>
      <c r="H57" s="208"/>
      <c r="K57" s="208"/>
      <c r="L57" s="208"/>
      <c r="N57" s="29"/>
      <c r="Q57" s="29"/>
      <c r="R57" s="208"/>
      <c r="S57" s="208"/>
      <c r="T57" s="29"/>
      <c r="U57" s="208"/>
      <c r="X57" s="208"/>
    </row>
    <row r="58" spans="1:44" s="26" customFormat="1" x14ac:dyDescent="0.25">
      <c r="C58" s="29"/>
      <c r="D58" s="208"/>
      <c r="E58" s="208"/>
      <c r="F58" s="208"/>
      <c r="G58" s="208"/>
      <c r="H58" s="208"/>
      <c r="K58" s="208"/>
      <c r="L58" s="208"/>
      <c r="N58" s="29"/>
      <c r="Q58" s="29"/>
      <c r="R58" s="208"/>
      <c r="S58" s="208"/>
      <c r="T58" s="29"/>
      <c r="U58" s="208"/>
      <c r="X58" s="208"/>
    </row>
    <row r="59" spans="1:44" s="26" customFormat="1" x14ac:dyDescent="0.25">
      <c r="C59" s="29"/>
      <c r="D59" s="208"/>
      <c r="E59" s="208"/>
      <c r="F59" s="208"/>
      <c r="G59" s="208"/>
      <c r="H59" s="208"/>
      <c r="K59" s="208"/>
      <c r="L59" s="208"/>
      <c r="N59" s="29"/>
      <c r="Q59" s="29"/>
      <c r="R59" s="208"/>
      <c r="S59" s="208"/>
      <c r="T59" s="29"/>
      <c r="U59" s="208"/>
      <c r="X59" s="208"/>
    </row>
    <row r="60" spans="1:44" s="26" customFormat="1" x14ac:dyDescent="0.25">
      <c r="C60" s="29"/>
      <c r="D60" s="208"/>
      <c r="E60" s="208"/>
      <c r="F60" s="208"/>
      <c r="G60" s="208"/>
      <c r="H60" s="208"/>
      <c r="K60" s="208"/>
      <c r="L60" s="208"/>
      <c r="N60" s="29"/>
      <c r="Q60" s="29"/>
      <c r="R60" s="208"/>
      <c r="S60" s="208"/>
      <c r="T60" s="29"/>
      <c r="U60" s="208"/>
      <c r="X60" s="208"/>
    </row>
    <row r="61" spans="1:44" s="26" customFormat="1" x14ac:dyDescent="0.25">
      <c r="C61" s="29"/>
      <c r="D61" s="208"/>
      <c r="E61" s="208"/>
      <c r="F61" s="208"/>
      <c r="G61" s="208"/>
      <c r="H61" s="208"/>
      <c r="K61" s="208"/>
      <c r="L61" s="208"/>
      <c r="N61" s="29"/>
      <c r="Q61" s="29"/>
      <c r="R61" s="208"/>
      <c r="S61" s="208"/>
      <c r="T61" s="29"/>
      <c r="U61" s="208"/>
      <c r="X61" s="208"/>
    </row>
    <row r="62" spans="1:44" s="26" customFormat="1" x14ac:dyDescent="0.25">
      <c r="C62" s="29"/>
      <c r="D62" s="208"/>
      <c r="E62" s="208"/>
      <c r="F62" s="208"/>
      <c r="G62" s="208"/>
      <c r="H62" s="208"/>
      <c r="K62" s="208"/>
      <c r="L62" s="208"/>
      <c r="N62" s="29"/>
      <c r="Q62" s="29"/>
      <c r="R62" s="208"/>
      <c r="S62" s="208"/>
      <c r="T62" s="29"/>
      <c r="U62" s="208"/>
      <c r="X62" s="208"/>
    </row>
    <row r="63" spans="1:44" s="26" customFormat="1" x14ac:dyDescent="0.25">
      <c r="C63" s="29"/>
      <c r="D63" s="208"/>
      <c r="E63" s="208"/>
      <c r="F63" s="208"/>
      <c r="G63" s="208"/>
      <c r="H63" s="208"/>
      <c r="K63" s="208"/>
      <c r="L63" s="208"/>
      <c r="N63" s="29"/>
      <c r="Q63" s="29"/>
      <c r="R63" s="208"/>
      <c r="S63" s="208"/>
      <c r="T63" s="29"/>
      <c r="U63" s="208"/>
      <c r="X63" s="208"/>
    </row>
    <row r="64" spans="1:44" s="26" customFormat="1" x14ac:dyDescent="0.25">
      <c r="C64" s="29"/>
      <c r="D64" s="208"/>
      <c r="E64" s="208"/>
      <c r="F64" s="208"/>
      <c r="G64" s="208"/>
      <c r="H64" s="208"/>
      <c r="K64" s="208"/>
      <c r="L64" s="208"/>
      <c r="N64" s="29"/>
      <c r="Q64" s="29"/>
      <c r="R64" s="208"/>
      <c r="S64" s="208"/>
      <c r="T64" s="29"/>
      <c r="U64" s="208"/>
      <c r="X64" s="208"/>
    </row>
    <row r="65" spans="3:24" s="26" customFormat="1" x14ac:dyDescent="0.25">
      <c r="C65" s="29"/>
      <c r="D65" s="208"/>
      <c r="E65" s="208"/>
      <c r="F65" s="208"/>
      <c r="G65" s="208"/>
      <c r="H65" s="208"/>
      <c r="K65" s="208"/>
      <c r="L65" s="208"/>
      <c r="N65" s="29"/>
      <c r="Q65" s="29"/>
      <c r="R65" s="208"/>
      <c r="S65" s="208"/>
      <c r="T65" s="29"/>
      <c r="U65" s="208"/>
      <c r="X65" s="208"/>
    </row>
    <row r="66" spans="3:24" s="26" customFormat="1" x14ac:dyDescent="0.25">
      <c r="C66" s="29"/>
      <c r="D66" s="208"/>
      <c r="E66" s="208"/>
      <c r="F66" s="208"/>
      <c r="G66" s="208"/>
      <c r="H66" s="208"/>
      <c r="K66" s="208"/>
      <c r="L66" s="208"/>
      <c r="N66" s="29"/>
      <c r="Q66" s="29"/>
      <c r="R66" s="208"/>
      <c r="S66" s="208"/>
      <c r="T66" s="29"/>
      <c r="U66" s="208"/>
      <c r="X66" s="208"/>
    </row>
    <row r="67" spans="3:24" s="26" customFormat="1" x14ac:dyDescent="0.25">
      <c r="C67" s="29"/>
      <c r="D67" s="208"/>
      <c r="E67" s="208"/>
      <c r="F67" s="208"/>
      <c r="G67" s="208"/>
      <c r="H67" s="208"/>
      <c r="K67" s="208"/>
      <c r="L67" s="208"/>
      <c r="N67" s="29"/>
      <c r="Q67" s="29"/>
      <c r="R67" s="208"/>
      <c r="S67" s="208"/>
      <c r="T67" s="29"/>
      <c r="U67" s="208"/>
      <c r="X67" s="208"/>
    </row>
    <row r="68" spans="3:24" s="26" customFormat="1" x14ac:dyDescent="0.25">
      <c r="C68" s="29"/>
      <c r="D68" s="208"/>
      <c r="E68" s="208"/>
      <c r="F68" s="208"/>
      <c r="G68" s="208"/>
      <c r="H68" s="208"/>
      <c r="K68" s="208"/>
      <c r="L68" s="208"/>
      <c r="N68" s="29"/>
      <c r="Q68" s="29"/>
      <c r="R68" s="208"/>
      <c r="S68" s="208"/>
      <c r="T68" s="29"/>
      <c r="U68" s="208"/>
      <c r="X68" s="208"/>
    </row>
    <row r="69" spans="3:24" s="26" customFormat="1" x14ac:dyDescent="0.25">
      <c r="C69" s="29"/>
      <c r="D69" s="208"/>
      <c r="E69" s="208"/>
      <c r="F69" s="208"/>
      <c r="G69" s="208"/>
      <c r="H69" s="208"/>
      <c r="K69" s="208"/>
      <c r="L69" s="208"/>
      <c r="N69" s="29"/>
      <c r="Q69" s="29"/>
      <c r="R69" s="208"/>
      <c r="S69" s="208"/>
      <c r="T69" s="29"/>
      <c r="U69" s="208"/>
      <c r="X69" s="208"/>
    </row>
    <row r="70" spans="3:24" s="26" customFormat="1" x14ac:dyDescent="0.25">
      <c r="C70" s="29"/>
      <c r="D70" s="208"/>
      <c r="E70" s="208"/>
      <c r="F70" s="208"/>
      <c r="G70" s="208"/>
      <c r="H70" s="208"/>
      <c r="K70" s="208"/>
      <c r="L70" s="208"/>
      <c r="N70" s="29"/>
      <c r="Q70" s="29"/>
      <c r="R70" s="208"/>
      <c r="S70" s="208"/>
      <c r="T70" s="29"/>
      <c r="U70" s="208"/>
      <c r="X70" s="208"/>
    </row>
    <row r="71" spans="3:24" s="26" customFormat="1" x14ac:dyDescent="0.25">
      <c r="C71" s="29"/>
      <c r="D71" s="208"/>
      <c r="E71" s="208"/>
      <c r="F71" s="208"/>
      <c r="G71" s="208"/>
      <c r="H71" s="208"/>
      <c r="K71" s="208"/>
      <c r="L71" s="208"/>
      <c r="N71" s="29"/>
      <c r="Q71" s="29"/>
      <c r="R71" s="208"/>
      <c r="S71" s="208"/>
      <c r="T71" s="29"/>
      <c r="U71" s="208"/>
      <c r="X71" s="208"/>
    </row>
    <row r="72" spans="3:24" s="26" customFormat="1" x14ac:dyDescent="0.25">
      <c r="C72" s="29"/>
      <c r="D72" s="208"/>
      <c r="E72" s="208"/>
      <c r="F72" s="208"/>
      <c r="G72" s="208"/>
      <c r="H72" s="208"/>
      <c r="K72" s="208"/>
      <c r="L72" s="208"/>
      <c r="N72" s="29"/>
      <c r="Q72" s="29"/>
      <c r="R72" s="208"/>
      <c r="S72" s="208"/>
      <c r="T72" s="29"/>
      <c r="U72" s="208"/>
      <c r="X72" s="208"/>
    </row>
    <row r="73" spans="3:24" s="26" customFormat="1" x14ac:dyDescent="0.25">
      <c r="C73" s="29"/>
      <c r="D73" s="208"/>
      <c r="E73" s="208"/>
      <c r="F73" s="208"/>
      <c r="G73" s="208"/>
      <c r="H73" s="208"/>
      <c r="K73" s="208"/>
      <c r="L73" s="208"/>
      <c r="N73" s="29"/>
      <c r="Q73" s="29"/>
      <c r="R73" s="208"/>
      <c r="S73" s="208"/>
      <c r="T73" s="29"/>
      <c r="U73" s="208"/>
      <c r="X73" s="208"/>
    </row>
    <row r="74" spans="3:24" s="26" customFormat="1" x14ac:dyDescent="0.25">
      <c r="C74" s="29"/>
      <c r="D74" s="208"/>
      <c r="E74" s="208"/>
      <c r="F74" s="208"/>
      <c r="G74" s="208"/>
      <c r="H74" s="208"/>
      <c r="K74" s="208"/>
      <c r="L74" s="208"/>
      <c r="N74" s="29"/>
      <c r="Q74" s="29"/>
      <c r="R74" s="208"/>
      <c r="S74" s="208"/>
      <c r="T74" s="29"/>
      <c r="U74" s="208"/>
      <c r="X74" s="208"/>
    </row>
    <row r="75" spans="3:24" s="26" customFormat="1" x14ac:dyDescent="0.25">
      <c r="C75" s="29"/>
      <c r="D75" s="208"/>
      <c r="E75" s="208"/>
      <c r="F75" s="208"/>
      <c r="G75" s="208"/>
      <c r="H75" s="208"/>
      <c r="K75" s="208"/>
      <c r="L75" s="208"/>
      <c r="N75" s="29"/>
      <c r="Q75" s="29"/>
      <c r="R75" s="208"/>
      <c r="S75" s="208"/>
      <c r="T75" s="29"/>
      <c r="U75" s="208"/>
      <c r="X75" s="208"/>
    </row>
    <row r="76" spans="3:24" s="26" customFormat="1" x14ac:dyDescent="0.25">
      <c r="C76" s="29"/>
      <c r="D76" s="208"/>
      <c r="E76" s="208"/>
      <c r="F76" s="208"/>
      <c r="G76" s="208"/>
      <c r="H76" s="208"/>
      <c r="K76" s="208"/>
      <c r="L76" s="208"/>
      <c r="N76" s="29"/>
      <c r="Q76" s="29"/>
      <c r="R76" s="208"/>
      <c r="S76" s="208"/>
      <c r="T76" s="29"/>
      <c r="U76" s="208"/>
      <c r="X76" s="208"/>
    </row>
    <row r="77" spans="3:24" s="26" customFormat="1" x14ac:dyDescent="0.25">
      <c r="C77" s="29"/>
      <c r="D77" s="208"/>
      <c r="E77" s="208"/>
      <c r="F77" s="208"/>
      <c r="G77" s="208"/>
      <c r="H77" s="208"/>
      <c r="K77" s="208"/>
      <c r="L77" s="208"/>
      <c r="N77" s="29"/>
      <c r="Q77" s="29"/>
      <c r="R77" s="208"/>
      <c r="S77" s="208"/>
      <c r="T77" s="29"/>
      <c r="U77" s="208"/>
      <c r="X77" s="208"/>
    </row>
    <row r="78" spans="3:24" s="26" customFormat="1" x14ac:dyDescent="0.25">
      <c r="C78" s="29"/>
      <c r="D78" s="208"/>
      <c r="E78" s="208"/>
      <c r="F78" s="208"/>
      <c r="G78" s="208"/>
      <c r="H78" s="208"/>
      <c r="K78" s="208"/>
      <c r="L78" s="208"/>
      <c r="N78" s="29"/>
      <c r="Q78" s="29"/>
      <c r="R78" s="208"/>
      <c r="S78" s="208"/>
      <c r="T78" s="29"/>
      <c r="U78" s="208"/>
      <c r="X78" s="208"/>
    </row>
    <row r="79" spans="3:24" s="26" customFormat="1" x14ac:dyDescent="0.25">
      <c r="C79" s="29"/>
      <c r="D79" s="208"/>
      <c r="E79" s="208"/>
      <c r="F79" s="208"/>
      <c r="G79" s="208"/>
      <c r="H79" s="208"/>
      <c r="K79" s="208"/>
      <c r="L79" s="208"/>
      <c r="N79" s="29"/>
      <c r="Q79" s="29"/>
      <c r="R79" s="208"/>
      <c r="S79" s="208"/>
      <c r="T79" s="29"/>
      <c r="U79" s="208"/>
      <c r="X79" s="208"/>
    </row>
    <row r="80" spans="3:24" s="26" customFormat="1" x14ac:dyDescent="0.25">
      <c r="C80" s="29"/>
      <c r="D80" s="208"/>
      <c r="E80" s="208"/>
      <c r="F80" s="208"/>
      <c r="G80" s="208"/>
      <c r="H80" s="208"/>
      <c r="K80" s="208"/>
      <c r="L80" s="208"/>
      <c r="N80" s="29"/>
      <c r="Q80" s="29"/>
      <c r="R80" s="208"/>
      <c r="S80" s="208"/>
      <c r="T80" s="29"/>
      <c r="U80" s="208"/>
      <c r="X80" s="208"/>
    </row>
    <row r="81" spans="3:24" s="26" customFormat="1" x14ac:dyDescent="0.25">
      <c r="C81" s="29"/>
      <c r="D81" s="208"/>
      <c r="E81" s="208"/>
      <c r="F81" s="208"/>
      <c r="G81" s="208"/>
      <c r="H81" s="208"/>
      <c r="K81" s="208"/>
      <c r="L81" s="208"/>
      <c r="N81" s="29"/>
      <c r="Q81" s="29"/>
      <c r="R81" s="208"/>
      <c r="S81" s="208"/>
      <c r="T81" s="29"/>
      <c r="U81" s="208"/>
      <c r="X81" s="208"/>
    </row>
    <row r="82" spans="3:24" s="26" customFormat="1" x14ac:dyDescent="0.25">
      <c r="C82" s="29"/>
      <c r="D82" s="208"/>
      <c r="E82" s="208"/>
      <c r="F82" s="208"/>
      <c r="G82" s="208"/>
      <c r="H82" s="208"/>
      <c r="K82" s="208"/>
      <c r="L82" s="208"/>
      <c r="N82" s="29"/>
      <c r="Q82" s="29"/>
      <c r="R82" s="208"/>
      <c r="S82" s="208"/>
      <c r="T82" s="29"/>
      <c r="U82" s="208"/>
      <c r="X82" s="208"/>
    </row>
    <row r="83" spans="3:24" s="26" customFormat="1" x14ac:dyDescent="0.25">
      <c r="C83" s="29"/>
      <c r="D83" s="208"/>
      <c r="E83" s="208"/>
      <c r="F83" s="208"/>
      <c r="G83" s="208"/>
      <c r="H83" s="208"/>
      <c r="K83" s="208"/>
      <c r="L83" s="208"/>
      <c r="N83" s="29"/>
      <c r="Q83" s="29"/>
      <c r="R83" s="208"/>
      <c r="S83" s="208"/>
      <c r="T83" s="29"/>
      <c r="U83" s="208"/>
      <c r="X83" s="208"/>
    </row>
    <row r="84" spans="3:24" s="26" customFormat="1" x14ac:dyDescent="0.25">
      <c r="C84" s="29"/>
      <c r="D84" s="208"/>
      <c r="E84" s="208"/>
      <c r="F84" s="208"/>
      <c r="G84" s="208"/>
      <c r="H84" s="208"/>
      <c r="K84" s="208"/>
      <c r="L84" s="208"/>
      <c r="N84" s="29"/>
      <c r="Q84" s="29"/>
      <c r="R84" s="208"/>
      <c r="S84" s="208"/>
      <c r="T84" s="29"/>
      <c r="U84" s="208"/>
      <c r="X84" s="208"/>
    </row>
    <row r="85" spans="3:24" s="26" customFormat="1" x14ac:dyDescent="0.25">
      <c r="C85" s="29"/>
      <c r="D85" s="208"/>
      <c r="E85" s="208"/>
      <c r="F85" s="208"/>
      <c r="G85" s="208"/>
      <c r="H85" s="208"/>
      <c r="K85" s="208"/>
      <c r="L85" s="208"/>
      <c r="N85" s="29"/>
      <c r="Q85" s="29"/>
      <c r="R85" s="208"/>
      <c r="S85" s="208"/>
      <c r="T85" s="29"/>
      <c r="U85" s="208"/>
      <c r="X85" s="208"/>
    </row>
    <row r="86" spans="3:24" s="26" customFormat="1" x14ac:dyDescent="0.25">
      <c r="C86" s="29"/>
      <c r="D86" s="208"/>
      <c r="E86" s="208"/>
      <c r="F86" s="208"/>
      <c r="G86" s="208"/>
      <c r="H86" s="208"/>
      <c r="K86" s="208"/>
      <c r="L86" s="208"/>
      <c r="N86" s="29"/>
      <c r="Q86" s="29"/>
      <c r="R86" s="208"/>
      <c r="S86" s="208"/>
      <c r="T86" s="29"/>
      <c r="U86" s="208"/>
      <c r="X86" s="208"/>
    </row>
    <row r="87" spans="3:24" s="26" customFormat="1" x14ac:dyDescent="0.25">
      <c r="C87" s="29"/>
      <c r="D87" s="208"/>
      <c r="E87" s="208"/>
      <c r="F87" s="208"/>
      <c r="G87" s="208"/>
      <c r="H87" s="208"/>
      <c r="K87" s="208"/>
      <c r="L87" s="208"/>
      <c r="N87" s="29"/>
      <c r="Q87" s="29"/>
      <c r="R87" s="208"/>
      <c r="S87" s="208"/>
      <c r="T87" s="29"/>
      <c r="U87" s="208"/>
      <c r="X87" s="208"/>
    </row>
    <row r="88" spans="3:24" s="26" customFormat="1" x14ac:dyDescent="0.25">
      <c r="C88" s="29"/>
      <c r="D88" s="208"/>
      <c r="E88" s="208"/>
      <c r="F88" s="208"/>
      <c r="G88" s="208"/>
      <c r="H88" s="208"/>
      <c r="K88" s="208"/>
      <c r="L88" s="208"/>
      <c r="N88" s="29"/>
      <c r="Q88" s="29"/>
      <c r="R88" s="208"/>
      <c r="S88" s="208"/>
      <c r="T88" s="29"/>
      <c r="U88" s="208"/>
      <c r="X88" s="208"/>
    </row>
    <row r="89" spans="3:24" s="26" customFormat="1" x14ac:dyDescent="0.25">
      <c r="C89" s="29"/>
      <c r="D89" s="208"/>
      <c r="E89" s="208"/>
      <c r="F89" s="208"/>
      <c r="G89" s="208"/>
      <c r="H89" s="208"/>
      <c r="K89" s="208"/>
      <c r="L89" s="208"/>
      <c r="N89" s="29"/>
      <c r="Q89" s="29"/>
      <c r="R89" s="208"/>
      <c r="S89" s="208"/>
      <c r="T89" s="29"/>
      <c r="U89" s="208"/>
      <c r="X89" s="208"/>
    </row>
    <row r="90" spans="3:24" s="26" customFormat="1" x14ac:dyDescent="0.25">
      <c r="C90" s="29"/>
      <c r="D90" s="208"/>
      <c r="E90" s="208"/>
      <c r="F90" s="208"/>
      <c r="G90" s="208"/>
      <c r="H90" s="208"/>
      <c r="K90" s="208"/>
      <c r="L90" s="208"/>
      <c r="N90" s="29"/>
      <c r="Q90" s="29"/>
      <c r="R90" s="208"/>
      <c r="S90" s="208"/>
      <c r="T90" s="29"/>
      <c r="U90" s="208"/>
      <c r="X90" s="208"/>
    </row>
    <row r="91" spans="3:24" s="26" customFormat="1" x14ac:dyDescent="0.25">
      <c r="C91" s="29"/>
      <c r="D91" s="208"/>
      <c r="E91" s="208"/>
      <c r="F91" s="208"/>
      <c r="G91" s="208"/>
      <c r="H91" s="208"/>
      <c r="K91" s="208"/>
      <c r="L91" s="208"/>
      <c r="N91" s="29"/>
      <c r="Q91" s="29"/>
      <c r="R91" s="208"/>
      <c r="S91" s="208"/>
      <c r="T91" s="29"/>
      <c r="U91" s="208"/>
      <c r="X91" s="208"/>
    </row>
    <row r="92" spans="3:24" s="26" customFormat="1" x14ac:dyDescent="0.25">
      <c r="C92" s="29"/>
      <c r="D92" s="208"/>
      <c r="E92" s="208"/>
      <c r="F92" s="208"/>
      <c r="G92" s="208"/>
      <c r="H92" s="208"/>
      <c r="K92" s="208"/>
      <c r="L92" s="208"/>
      <c r="N92" s="29"/>
      <c r="Q92" s="29"/>
      <c r="R92" s="208"/>
      <c r="S92" s="208"/>
      <c r="T92" s="29"/>
      <c r="U92" s="208"/>
      <c r="X92" s="208"/>
    </row>
    <row r="93" spans="3:24" s="26" customFormat="1" x14ac:dyDescent="0.25">
      <c r="C93" s="29"/>
      <c r="D93" s="208"/>
      <c r="E93" s="208"/>
      <c r="F93" s="208"/>
      <c r="G93" s="208"/>
      <c r="H93" s="208"/>
      <c r="K93" s="208"/>
      <c r="L93" s="208"/>
      <c r="N93" s="29"/>
      <c r="Q93" s="29"/>
      <c r="R93" s="208"/>
      <c r="S93" s="208"/>
      <c r="T93" s="29"/>
      <c r="U93" s="208"/>
      <c r="X93" s="208"/>
    </row>
    <row r="94" spans="3:24" s="26" customFormat="1" x14ac:dyDescent="0.25">
      <c r="C94" s="29"/>
      <c r="D94" s="208"/>
      <c r="E94" s="208"/>
      <c r="F94" s="208"/>
      <c r="G94" s="208"/>
      <c r="H94" s="208"/>
      <c r="K94" s="208"/>
      <c r="L94" s="208"/>
      <c r="N94" s="29"/>
      <c r="Q94" s="29"/>
      <c r="R94" s="208"/>
      <c r="S94" s="208"/>
      <c r="T94" s="29"/>
      <c r="U94" s="208"/>
      <c r="X94" s="208"/>
    </row>
    <row r="95" spans="3:24" s="26" customFormat="1" x14ac:dyDescent="0.25">
      <c r="C95" s="29"/>
      <c r="D95" s="208"/>
      <c r="E95" s="208"/>
      <c r="F95" s="208"/>
      <c r="G95" s="208"/>
      <c r="H95" s="208"/>
      <c r="K95" s="208"/>
      <c r="L95" s="208"/>
      <c r="N95" s="29"/>
      <c r="Q95" s="29"/>
      <c r="R95" s="208"/>
      <c r="S95" s="208"/>
      <c r="T95" s="29"/>
      <c r="U95" s="208"/>
      <c r="X95" s="208"/>
    </row>
    <row r="96" spans="3:24" s="26" customFormat="1" x14ac:dyDescent="0.25">
      <c r="C96" s="29"/>
      <c r="D96" s="208"/>
      <c r="E96" s="208"/>
      <c r="F96" s="208"/>
      <c r="G96" s="208"/>
      <c r="H96" s="208"/>
      <c r="K96" s="208"/>
      <c r="L96" s="208"/>
      <c r="N96" s="29"/>
      <c r="Q96" s="29"/>
      <c r="R96" s="208"/>
      <c r="S96" s="208"/>
      <c r="T96" s="29"/>
      <c r="U96" s="208"/>
      <c r="X96" s="208"/>
    </row>
    <row r="97" spans="3:24" s="26" customFormat="1" x14ac:dyDescent="0.25">
      <c r="C97" s="29"/>
      <c r="D97" s="208"/>
      <c r="E97" s="208"/>
      <c r="F97" s="208"/>
      <c r="G97" s="208"/>
      <c r="H97" s="208"/>
      <c r="K97" s="208"/>
      <c r="L97" s="208"/>
      <c r="N97" s="29"/>
      <c r="Q97" s="29"/>
      <c r="R97" s="208"/>
      <c r="S97" s="208"/>
      <c r="T97" s="29"/>
      <c r="U97" s="208"/>
      <c r="X97" s="208"/>
    </row>
    <row r="98" spans="3:24" s="26" customFormat="1" x14ac:dyDescent="0.25">
      <c r="C98" s="29"/>
      <c r="D98" s="208"/>
      <c r="E98" s="208"/>
      <c r="F98" s="208"/>
      <c r="G98" s="208"/>
      <c r="H98" s="208"/>
      <c r="K98" s="208"/>
      <c r="L98" s="208"/>
      <c r="N98" s="29"/>
      <c r="Q98" s="29"/>
      <c r="R98" s="208"/>
      <c r="S98" s="208"/>
      <c r="T98" s="29"/>
      <c r="U98" s="208"/>
      <c r="X98" s="208"/>
    </row>
    <row r="99" spans="3:24" s="26" customFormat="1" x14ac:dyDescent="0.25">
      <c r="C99" s="29"/>
      <c r="D99" s="208"/>
      <c r="E99" s="208"/>
      <c r="F99" s="208"/>
      <c r="G99" s="208"/>
      <c r="H99" s="208"/>
      <c r="K99" s="208"/>
      <c r="L99" s="208"/>
      <c r="N99" s="29"/>
      <c r="Q99" s="29"/>
      <c r="R99" s="208"/>
      <c r="S99" s="208"/>
      <c r="T99" s="29"/>
      <c r="U99" s="208"/>
      <c r="X99" s="208"/>
    </row>
    <row r="100" spans="3:24" s="26" customFormat="1" x14ac:dyDescent="0.25">
      <c r="C100" s="29"/>
      <c r="D100" s="208"/>
      <c r="E100" s="208"/>
      <c r="F100" s="208"/>
      <c r="G100" s="208"/>
      <c r="H100" s="208"/>
      <c r="K100" s="208"/>
      <c r="L100" s="208"/>
      <c r="N100" s="29"/>
      <c r="Q100" s="29"/>
      <c r="R100" s="208"/>
      <c r="S100" s="208"/>
      <c r="T100" s="29"/>
      <c r="U100" s="208"/>
      <c r="X100" s="208"/>
    </row>
    <row r="101" spans="3:24" s="26" customFormat="1" x14ac:dyDescent="0.25">
      <c r="C101" s="29"/>
      <c r="D101" s="208"/>
      <c r="E101" s="208"/>
      <c r="F101" s="208"/>
      <c r="G101" s="208"/>
      <c r="H101" s="208"/>
      <c r="K101" s="208"/>
      <c r="L101" s="208"/>
      <c r="N101" s="29"/>
      <c r="Q101" s="29"/>
      <c r="R101" s="208"/>
      <c r="S101" s="208"/>
      <c r="T101" s="29"/>
      <c r="U101" s="208"/>
      <c r="X101" s="208"/>
    </row>
    <row r="102" spans="3:24" s="26" customFormat="1" x14ac:dyDescent="0.25">
      <c r="C102" s="29"/>
      <c r="D102" s="208"/>
      <c r="E102" s="208"/>
      <c r="F102" s="208"/>
      <c r="G102" s="208"/>
      <c r="H102" s="208"/>
      <c r="K102" s="208"/>
      <c r="L102" s="208"/>
      <c r="N102" s="29"/>
      <c r="Q102" s="29"/>
      <c r="R102" s="208"/>
      <c r="S102" s="208"/>
      <c r="T102" s="29"/>
      <c r="U102" s="208"/>
      <c r="X102" s="208"/>
    </row>
    <row r="103" spans="3:24" s="26" customFormat="1" x14ac:dyDescent="0.25">
      <c r="C103" s="29"/>
      <c r="D103" s="208"/>
      <c r="E103" s="208"/>
      <c r="F103" s="208"/>
      <c r="G103" s="208"/>
      <c r="H103" s="208"/>
      <c r="K103" s="208"/>
      <c r="L103" s="208"/>
      <c r="N103" s="29"/>
      <c r="Q103" s="29"/>
      <c r="R103" s="208"/>
      <c r="S103" s="208"/>
      <c r="T103" s="29"/>
      <c r="U103" s="208"/>
      <c r="X103" s="208"/>
    </row>
    <row r="104" spans="3:24" s="26" customFormat="1" x14ac:dyDescent="0.25">
      <c r="C104" s="29"/>
      <c r="D104" s="208"/>
      <c r="E104" s="208"/>
      <c r="F104" s="208"/>
      <c r="G104" s="208"/>
      <c r="H104" s="208"/>
      <c r="K104" s="208"/>
      <c r="L104" s="208"/>
      <c r="N104" s="29"/>
      <c r="Q104" s="29"/>
      <c r="R104" s="208"/>
      <c r="S104" s="208"/>
      <c r="T104" s="29"/>
      <c r="U104" s="208"/>
      <c r="X104" s="208"/>
    </row>
    <row r="105" spans="3:24" s="26" customFormat="1" x14ac:dyDescent="0.25">
      <c r="C105" s="29"/>
      <c r="D105" s="208"/>
      <c r="E105" s="208"/>
      <c r="F105" s="208"/>
      <c r="G105" s="208"/>
      <c r="H105" s="208"/>
      <c r="K105" s="208"/>
      <c r="L105" s="208"/>
      <c r="N105" s="29"/>
      <c r="Q105" s="29"/>
      <c r="R105" s="208"/>
      <c r="S105" s="208"/>
      <c r="T105" s="29"/>
      <c r="U105" s="208"/>
      <c r="X105" s="208"/>
    </row>
    <row r="106" spans="3:24" s="26" customFormat="1" x14ac:dyDescent="0.25">
      <c r="C106" s="29"/>
      <c r="D106" s="208"/>
      <c r="E106" s="208"/>
      <c r="F106" s="208"/>
      <c r="G106" s="208"/>
      <c r="H106" s="208"/>
      <c r="K106" s="208"/>
      <c r="L106" s="208"/>
      <c r="N106" s="29"/>
      <c r="Q106" s="29"/>
      <c r="R106" s="208"/>
      <c r="S106" s="208"/>
      <c r="T106" s="29"/>
      <c r="U106" s="208"/>
      <c r="X106" s="208"/>
    </row>
    <row r="107" spans="3:24" s="26" customFormat="1" x14ac:dyDescent="0.25">
      <c r="C107" s="29"/>
      <c r="D107" s="208"/>
      <c r="E107" s="208"/>
      <c r="F107" s="208"/>
      <c r="G107" s="208"/>
      <c r="H107" s="208"/>
      <c r="K107" s="208"/>
      <c r="L107" s="208"/>
      <c r="N107" s="29"/>
      <c r="Q107" s="29"/>
      <c r="R107" s="208"/>
      <c r="S107" s="208"/>
      <c r="T107" s="29"/>
      <c r="U107" s="208"/>
      <c r="X107" s="208"/>
    </row>
    <row r="108" spans="3:24" s="26" customFormat="1" x14ac:dyDescent="0.25">
      <c r="C108" s="29"/>
      <c r="D108" s="208"/>
      <c r="E108" s="208"/>
      <c r="F108" s="208"/>
      <c r="G108" s="208"/>
      <c r="H108" s="208"/>
      <c r="K108" s="208"/>
      <c r="L108" s="208"/>
      <c r="N108" s="29"/>
      <c r="Q108" s="29"/>
      <c r="R108" s="208"/>
      <c r="S108" s="208"/>
      <c r="T108" s="29"/>
      <c r="U108" s="208"/>
      <c r="X108" s="208"/>
    </row>
    <row r="109" spans="3:24" s="26" customFormat="1" x14ac:dyDescent="0.25">
      <c r="C109" s="29"/>
      <c r="D109" s="208"/>
      <c r="E109" s="208"/>
      <c r="F109" s="208"/>
      <c r="G109" s="208"/>
      <c r="H109" s="208"/>
      <c r="K109" s="208"/>
      <c r="L109" s="208"/>
      <c r="N109" s="29"/>
      <c r="Q109" s="29"/>
      <c r="R109" s="208"/>
      <c r="S109" s="208"/>
      <c r="T109" s="29"/>
      <c r="U109" s="208"/>
      <c r="X109" s="208"/>
    </row>
    <row r="110" spans="3:24" s="26" customFormat="1" x14ac:dyDescent="0.25">
      <c r="C110" s="29"/>
      <c r="D110" s="208"/>
      <c r="E110" s="208"/>
      <c r="F110" s="208"/>
      <c r="G110" s="208"/>
      <c r="H110" s="208"/>
      <c r="K110" s="208"/>
      <c r="L110" s="208"/>
      <c r="N110" s="29"/>
      <c r="Q110" s="29"/>
      <c r="R110" s="208"/>
      <c r="S110" s="208"/>
      <c r="T110" s="29"/>
      <c r="U110" s="208"/>
      <c r="X110" s="208"/>
    </row>
    <row r="111" spans="3:24" s="26" customFormat="1" x14ac:dyDescent="0.25">
      <c r="C111" s="29"/>
      <c r="D111" s="208"/>
      <c r="E111" s="208"/>
      <c r="F111" s="208"/>
      <c r="G111" s="208"/>
      <c r="H111" s="208"/>
      <c r="K111" s="208"/>
      <c r="L111" s="208"/>
      <c r="N111" s="29"/>
      <c r="Q111" s="29"/>
      <c r="R111" s="208"/>
      <c r="S111" s="208"/>
      <c r="T111" s="29"/>
      <c r="U111" s="208"/>
      <c r="X111" s="208"/>
    </row>
    <row r="112" spans="3:24" s="26" customFormat="1" x14ac:dyDescent="0.25">
      <c r="C112" s="29"/>
      <c r="D112" s="208"/>
      <c r="E112" s="208"/>
      <c r="F112" s="208"/>
      <c r="G112" s="208"/>
      <c r="H112" s="208"/>
      <c r="K112" s="208"/>
      <c r="L112" s="208"/>
      <c r="N112" s="29"/>
      <c r="Q112" s="29"/>
      <c r="R112" s="208"/>
      <c r="S112" s="208"/>
      <c r="T112" s="29"/>
      <c r="U112" s="208"/>
      <c r="X112" s="208"/>
    </row>
    <row r="113" spans="3:24" s="26" customFormat="1" x14ac:dyDescent="0.25">
      <c r="C113" s="29"/>
      <c r="D113" s="208"/>
      <c r="E113" s="208"/>
      <c r="F113" s="208"/>
      <c r="G113" s="208"/>
      <c r="H113" s="208"/>
      <c r="K113" s="208"/>
      <c r="L113" s="208"/>
      <c r="N113" s="29"/>
      <c r="Q113" s="29"/>
      <c r="R113" s="208"/>
      <c r="S113" s="208"/>
      <c r="T113" s="29"/>
      <c r="U113" s="208"/>
      <c r="X113" s="208"/>
    </row>
    <row r="114" spans="3:24" s="26" customFormat="1" x14ac:dyDescent="0.25">
      <c r="C114" s="29"/>
      <c r="D114" s="208"/>
      <c r="E114" s="208"/>
      <c r="F114" s="208"/>
      <c r="G114" s="208"/>
      <c r="H114" s="208"/>
      <c r="K114" s="208"/>
      <c r="L114" s="208"/>
      <c r="N114" s="29"/>
      <c r="Q114" s="29"/>
      <c r="R114" s="208"/>
      <c r="S114" s="208"/>
      <c r="T114" s="29"/>
      <c r="U114" s="208"/>
      <c r="X114" s="208"/>
    </row>
    <row r="115" spans="3:24" s="26" customFormat="1" x14ac:dyDescent="0.25">
      <c r="C115" s="29"/>
      <c r="D115" s="208"/>
      <c r="E115" s="208"/>
      <c r="F115" s="208"/>
      <c r="G115" s="208"/>
      <c r="H115" s="208"/>
      <c r="K115" s="208"/>
      <c r="L115" s="208"/>
      <c r="N115" s="29"/>
      <c r="Q115" s="29"/>
      <c r="R115" s="208"/>
      <c r="S115" s="208"/>
      <c r="T115" s="29"/>
      <c r="U115" s="208"/>
      <c r="X115" s="208"/>
    </row>
    <row r="116" spans="3:24" s="26" customFormat="1" x14ac:dyDescent="0.25">
      <c r="C116" s="29"/>
      <c r="D116" s="208"/>
      <c r="E116" s="208"/>
      <c r="F116" s="208"/>
      <c r="G116" s="208"/>
      <c r="H116" s="208"/>
      <c r="K116" s="208"/>
      <c r="L116" s="208"/>
      <c r="N116" s="29"/>
      <c r="Q116" s="29"/>
      <c r="R116" s="208"/>
      <c r="S116" s="208"/>
      <c r="T116" s="29"/>
      <c r="U116" s="208"/>
      <c r="X116" s="208"/>
    </row>
    <row r="117" spans="3:24" s="26" customFormat="1" x14ac:dyDescent="0.25">
      <c r="C117" s="29"/>
      <c r="D117" s="208"/>
      <c r="E117" s="208"/>
      <c r="F117" s="208"/>
      <c r="G117" s="208"/>
      <c r="H117" s="208"/>
      <c r="K117" s="208"/>
      <c r="L117" s="208"/>
      <c r="N117" s="29"/>
      <c r="Q117" s="29"/>
      <c r="R117" s="208"/>
      <c r="S117" s="208"/>
      <c r="T117" s="29"/>
      <c r="U117" s="208"/>
      <c r="X117" s="208"/>
    </row>
    <row r="118" spans="3:24" s="26" customFormat="1" x14ac:dyDescent="0.25">
      <c r="C118" s="29"/>
      <c r="D118" s="208"/>
      <c r="E118" s="208"/>
      <c r="F118" s="208"/>
      <c r="G118" s="208"/>
      <c r="H118" s="208"/>
      <c r="K118" s="208"/>
      <c r="L118" s="208"/>
      <c r="N118" s="29"/>
      <c r="Q118" s="29"/>
      <c r="R118" s="208"/>
      <c r="S118" s="208"/>
      <c r="T118" s="29"/>
      <c r="U118" s="208"/>
      <c r="X118" s="208"/>
    </row>
    <row r="119" spans="3:24" s="26" customFormat="1" x14ac:dyDescent="0.25">
      <c r="C119" s="29"/>
      <c r="D119" s="208"/>
      <c r="E119" s="208"/>
      <c r="F119" s="208"/>
      <c r="G119" s="208"/>
      <c r="H119" s="208"/>
      <c r="K119" s="208"/>
      <c r="L119" s="208"/>
      <c r="N119" s="29"/>
      <c r="Q119" s="29"/>
      <c r="R119" s="208"/>
      <c r="S119" s="208"/>
      <c r="T119" s="29"/>
      <c r="U119" s="208"/>
      <c r="X119" s="208"/>
    </row>
    <row r="120" spans="3:24" s="26" customFormat="1" x14ac:dyDescent="0.25">
      <c r="C120" s="29"/>
      <c r="D120" s="208"/>
      <c r="E120" s="208"/>
      <c r="F120" s="208"/>
      <c r="G120" s="208"/>
      <c r="H120" s="208"/>
      <c r="K120" s="208"/>
      <c r="L120" s="208"/>
      <c r="N120" s="29"/>
      <c r="Q120" s="29"/>
      <c r="R120" s="208"/>
      <c r="S120" s="208"/>
      <c r="T120" s="29"/>
      <c r="U120" s="208"/>
      <c r="X120" s="208"/>
    </row>
    <row r="121" spans="3:24" s="26" customFormat="1" x14ac:dyDescent="0.25">
      <c r="C121" s="29"/>
      <c r="D121" s="208"/>
      <c r="E121" s="208"/>
      <c r="F121" s="208"/>
      <c r="G121" s="208"/>
      <c r="H121" s="208"/>
      <c r="K121" s="208"/>
      <c r="L121" s="208"/>
      <c r="N121" s="29"/>
      <c r="Q121" s="29"/>
      <c r="R121" s="208"/>
      <c r="S121" s="208"/>
      <c r="T121" s="29"/>
      <c r="U121" s="208"/>
      <c r="X121" s="208"/>
    </row>
    <row r="122" spans="3:24" s="26" customFormat="1" x14ac:dyDescent="0.25">
      <c r="C122" s="29"/>
      <c r="D122" s="208"/>
      <c r="E122" s="208"/>
      <c r="F122" s="208"/>
      <c r="G122" s="208"/>
      <c r="H122" s="208"/>
      <c r="K122" s="208"/>
      <c r="L122" s="208"/>
      <c r="N122" s="29"/>
      <c r="Q122" s="29"/>
      <c r="R122" s="208"/>
      <c r="S122" s="208"/>
      <c r="T122" s="29"/>
      <c r="U122" s="208"/>
      <c r="X122" s="208"/>
    </row>
    <row r="123" spans="3:24" s="26" customFormat="1" x14ac:dyDescent="0.25">
      <c r="C123" s="29"/>
      <c r="D123" s="208"/>
      <c r="E123" s="208"/>
      <c r="F123" s="208"/>
      <c r="G123" s="208"/>
      <c r="H123" s="208"/>
      <c r="K123" s="208"/>
      <c r="L123" s="208"/>
      <c r="N123" s="29"/>
      <c r="Q123" s="29"/>
      <c r="R123" s="208"/>
      <c r="S123" s="208"/>
      <c r="T123" s="29"/>
      <c r="U123" s="208"/>
      <c r="X123" s="208"/>
    </row>
    <row r="124" spans="3:24" s="26" customFormat="1" x14ac:dyDescent="0.25">
      <c r="C124" s="29"/>
      <c r="D124" s="208"/>
      <c r="E124" s="208"/>
      <c r="F124" s="208"/>
      <c r="G124" s="208"/>
      <c r="H124" s="208"/>
      <c r="K124" s="208"/>
      <c r="L124" s="208"/>
      <c r="N124" s="29"/>
      <c r="Q124" s="29"/>
      <c r="R124" s="208"/>
      <c r="S124" s="208"/>
      <c r="T124" s="29"/>
      <c r="U124" s="208"/>
      <c r="X124" s="208"/>
    </row>
    <row r="125" spans="3:24" s="26" customFormat="1" x14ac:dyDescent="0.25">
      <c r="C125" s="29"/>
      <c r="D125" s="208"/>
      <c r="E125" s="208"/>
      <c r="F125" s="208"/>
      <c r="G125" s="208"/>
      <c r="H125" s="208"/>
      <c r="K125" s="208"/>
      <c r="L125" s="208"/>
      <c r="N125" s="29"/>
      <c r="Q125" s="29"/>
      <c r="R125" s="208"/>
      <c r="S125" s="208"/>
      <c r="T125" s="29"/>
      <c r="U125" s="208"/>
      <c r="X125" s="208"/>
    </row>
    <row r="126" spans="3:24" s="26" customFormat="1" x14ac:dyDescent="0.25">
      <c r="C126" s="29"/>
      <c r="D126" s="208"/>
      <c r="E126" s="208"/>
      <c r="F126" s="208"/>
      <c r="G126" s="208"/>
      <c r="H126" s="208"/>
      <c r="K126" s="208"/>
      <c r="L126" s="208"/>
      <c r="N126" s="29"/>
      <c r="Q126" s="29"/>
      <c r="R126" s="208"/>
      <c r="S126" s="208"/>
      <c r="T126" s="29"/>
      <c r="U126" s="208"/>
      <c r="X126" s="208"/>
    </row>
    <row r="127" spans="3:24" s="26" customFormat="1" x14ac:dyDescent="0.25">
      <c r="C127" s="29"/>
      <c r="D127" s="208"/>
      <c r="E127" s="208"/>
      <c r="F127" s="208"/>
      <c r="G127" s="208"/>
      <c r="H127" s="208"/>
      <c r="K127" s="208"/>
      <c r="L127" s="208"/>
      <c r="N127" s="29"/>
      <c r="Q127" s="29"/>
      <c r="R127" s="208"/>
      <c r="S127" s="208"/>
      <c r="T127" s="29"/>
      <c r="U127" s="208"/>
      <c r="X127" s="208"/>
    </row>
    <row r="128" spans="3:24" s="26" customFormat="1" x14ac:dyDescent="0.25">
      <c r="C128" s="29"/>
      <c r="D128" s="208"/>
      <c r="E128" s="208"/>
      <c r="F128" s="208"/>
      <c r="G128" s="208"/>
      <c r="H128" s="208"/>
      <c r="K128" s="208"/>
      <c r="L128" s="208"/>
      <c r="N128" s="29"/>
      <c r="Q128" s="29"/>
      <c r="R128" s="208"/>
      <c r="S128" s="208"/>
      <c r="T128" s="29"/>
      <c r="U128" s="208"/>
      <c r="X128" s="208"/>
    </row>
    <row r="129" spans="3:24" s="26" customFormat="1" x14ac:dyDescent="0.25">
      <c r="C129" s="29"/>
      <c r="D129" s="208"/>
      <c r="E129" s="208"/>
      <c r="F129" s="208"/>
      <c r="G129" s="208"/>
      <c r="H129" s="208"/>
      <c r="K129" s="208"/>
      <c r="L129" s="208"/>
      <c r="N129" s="29"/>
      <c r="Q129" s="29"/>
      <c r="R129" s="208"/>
      <c r="S129" s="208"/>
      <c r="T129" s="29"/>
      <c r="U129" s="208"/>
      <c r="X129" s="208"/>
    </row>
    <row r="130" spans="3:24" s="26" customFormat="1" x14ac:dyDescent="0.25">
      <c r="C130" s="29"/>
      <c r="D130" s="208"/>
      <c r="E130" s="208"/>
      <c r="F130" s="208"/>
      <c r="G130" s="208"/>
      <c r="H130" s="208"/>
      <c r="K130" s="208"/>
      <c r="L130" s="208"/>
      <c r="N130" s="29"/>
      <c r="Q130" s="29"/>
      <c r="R130" s="208"/>
      <c r="S130" s="208"/>
      <c r="T130" s="29"/>
      <c r="U130" s="208"/>
      <c r="X130" s="208"/>
    </row>
    <row r="131" spans="3:24" s="26" customFormat="1" x14ac:dyDescent="0.25">
      <c r="C131" s="29"/>
      <c r="D131" s="208"/>
      <c r="E131" s="208"/>
      <c r="F131" s="208"/>
      <c r="G131" s="208"/>
      <c r="H131" s="208"/>
      <c r="K131" s="208"/>
      <c r="L131" s="208"/>
      <c r="N131" s="29"/>
      <c r="Q131" s="29"/>
      <c r="R131" s="208"/>
      <c r="S131" s="208"/>
      <c r="T131" s="29"/>
      <c r="U131" s="208"/>
      <c r="X131" s="208"/>
    </row>
    <row r="132" spans="3:24" s="26" customFormat="1" x14ac:dyDescent="0.25">
      <c r="C132" s="29"/>
      <c r="D132" s="208"/>
      <c r="E132" s="208"/>
      <c r="F132" s="208"/>
      <c r="G132" s="208"/>
      <c r="H132" s="208"/>
      <c r="K132" s="208"/>
      <c r="L132" s="208"/>
      <c r="N132" s="29"/>
      <c r="Q132" s="29"/>
      <c r="R132" s="208"/>
      <c r="S132" s="208"/>
      <c r="T132" s="29"/>
      <c r="U132" s="208"/>
      <c r="X132" s="208"/>
    </row>
    <row r="133" spans="3:24" s="26" customFormat="1" x14ac:dyDescent="0.25">
      <c r="C133" s="29"/>
      <c r="D133" s="208"/>
      <c r="E133" s="208"/>
      <c r="F133" s="208"/>
      <c r="G133" s="208"/>
      <c r="H133" s="208"/>
      <c r="K133" s="208"/>
      <c r="L133" s="208"/>
      <c r="N133" s="29"/>
      <c r="Q133" s="29"/>
      <c r="R133" s="208"/>
      <c r="S133" s="208"/>
      <c r="T133" s="29"/>
      <c r="U133" s="208"/>
      <c r="X133" s="208"/>
    </row>
    <row r="134" spans="3:24" s="26" customFormat="1" x14ac:dyDescent="0.25">
      <c r="C134" s="29"/>
      <c r="D134" s="208"/>
      <c r="E134" s="208"/>
      <c r="F134" s="208"/>
      <c r="G134" s="208"/>
      <c r="H134" s="208"/>
      <c r="K134" s="208"/>
      <c r="L134" s="208"/>
      <c r="N134" s="29"/>
      <c r="Q134" s="29"/>
      <c r="R134" s="208"/>
      <c r="S134" s="208"/>
      <c r="T134" s="29"/>
      <c r="U134" s="208"/>
      <c r="X134" s="208"/>
    </row>
    <row r="135" spans="3:24" s="26" customFormat="1" x14ac:dyDescent="0.25">
      <c r="C135" s="29"/>
      <c r="D135" s="208"/>
      <c r="E135" s="208"/>
      <c r="F135" s="208"/>
      <c r="G135" s="208"/>
      <c r="H135" s="208"/>
      <c r="K135" s="208"/>
      <c r="L135" s="208"/>
      <c r="N135" s="29"/>
      <c r="Q135" s="29"/>
      <c r="R135" s="208"/>
      <c r="S135" s="208"/>
      <c r="T135" s="29"/>
      <c r="U135" s="208"/>
      <c r="X135" s="208"/>
    </row>
    <row r="136" spans="3:24" s="26" customFormat="1" x14ac:dyDescent="0.25">
      <c r="C136" s="29"/>
      <c r="D136" s="208"/>
      <c r="E136" s="208"/>
      <c r="F136" s="208"/>
      <c r="G136" s="208"/>
      <c r="H136" s="208"/>
      <c r="K136" s="208"/>
      <c r="L136" s="208"/>
      <c r="N136" s="29"/>
      <c r="Q136" s="29"/>
      <c r="R136" s="208"/>
      <c r="S136" s="208"/>
      <c r="T136" s="29"/>
      <c r="U136" s="208"/>
      <c r="X136" s="208"/>
    </row>
    <row r="137" spans="3:24" s="26" customFormat="1" x14ac:dyDescent="0.25">
      <c r="C137" s="29"/>
      <c r="D137" s="208"/>
      <c r="E137" s="208"/>
      <c r="F137" s="208"/>
      <c r="G137" s="208"/>
      <c r="H137" s="208"/>
      <c r="K137" s="208"/>
      <c r="L137" s="208"/>
      <c r="N137" s="29"/>
      <c r="Q137" s="29"/>
      <c r="R137" s="208"/>
      <c r="S137" s="208"/>
      <c r="T137" s="29"/>
      <c r="U137" s="208"/>
      <c r="X137" s="208"/>
    </row>
    <row r="138" spans="3:24" s="26" customFormat="1" x14ac:dyDescent="0.25">
      <c r="C138" s="29"/>
      <c r="D138" s="208"/>
      <c r="E138" s="208"/>
      <c r="F138" s="208"/>
      <c r="G138" s="208"/>
      <c r="H138" s="208"/>
      <c r="K138" s="208"/>
      <c r="L138" s="208"/>
      <c r="N138" s="29"/>
      <c r="Q138" s="29"/>
      <c r="R138" s="208"/>
      <c r="S138" s="208"/>
      <c r="T138" s="29"/>
      <c r="U138" s="208"/>
      <c r="X138" s="208"/>
    </row>
    <row r="139" spans="3:24" s="26" customFormat="1" x14ac:dyDescent="0.25">
      <c r="C139" s="29"/>
      <c r="D139" s="208"/>
      <c r="E139" s="208"/>
      <c r="F139" s="208"/>
      <c r="G139" s="208"/>
      <c r="H139" s="208"/>
      <c r="K139" s="208"/>
      <c r="L139" s="208"/>
      <c r="N139" s="29"/>
      <c r="Q139" s="29"/>
      <c r="R139" s="208"/>
      <c r="S139" s="208"/>
      <c r="T139" s="29"/>
      <c r="U139" s="208"/>
      <c r="X139" s="208"/>
    </row>
    <row r="140" spans="3:24" s="26" customFormat="1" x14ac:dyDescent="0.25">
      <c r="C140" s="29"/>
      <c r="D140" s="208"/>
      <c r="E140" s="208"/>
      <c r="F140" s="208"/>
      <c r="G140" s="208"/>
      <c r="H140" s="208"/>
      <c r="K140" s="208"/>
      <c r="L140" s="208"/>
      <c r="N140" s="29"/>
      <c r="Q140" s="29"/>
      <c r="R140" s="208"/>
      <c r="S140" s="208"/>
      <c r="T140" s="29"/>
      <c r="U140" s="208"/>
      <c r="X140" s="208"/>
    </row>
    <row r="141" spans="3:24" s="26" customFormat="1" x14ac:dyDescent="0.25">
      <c r="C141" s="29"/>
      <c r="D141" s="208"/>
      <c r="E141" s="208"/>
      <c r="F141" s="208"/>
      <c r="G141" s="208"/>
      <c r="H141" s="208"/>
      <c r="K141" s="208"/>
      <c r="L141" s="208"/>
      <c r="N141" s="29"/>
      <c r="Q141" s="29"/>
      <c r="R141" s="208"/>
      <c r="S141" s="208"/>
      <c r="T141" s="29"/>
      <c r="U141" s="208"/>
      <c r="X141" s="208"/>
    </row>
    <row r="142" spans="3:24" s="26" customFormat="1" x14ac:dyDescent="0.25">
      <c r="C142" s="29"/>
      <c r="D142" s="208"/>
      <c r="E142" s="208"/>
      <c r="F142" s="208"/>
      <c r="G142" s="208"/>
      <c r="H142" s="208"/>
      <c r="K142" s="208"/>
      <c r="L142" s="208"/>
      <c r="N142" s="29"/>
      <c r="Q142" s="29"/>
      <c r="R142" s="208"/>
      <c r="S142" s="208"/>
      <c r="T142" s="29"/>
      <c r="U142" s="208"/>
      <c r="X142" s="208"/>
    </row>
    <row r="143" spans="3:24" s="26" customFormat="1" x14ac:dyDescent="0.25">
      <c r="C143" s="29"/>
      <c r="D143" s="208"/>
      <c r="E143" s="208"/>
      <c r="F143" s="208"/>
      <c r="G143" s="208"/>
      <c r="H143" s="208"/>
      <c r="K143" s="208"/>
      <c r="L143" s="208"/>
      <c r="N143" s="29"/>
      <c r="Q143" s="29"/>
      <c r="R143" s="208"/>
      <c r="S143" s="208"/>
      <c r="T143" s="29"/>
      <c r="U143" s="208"/>
      <c r="X143" s="208"/>
    </row>
    <row r="144" spans="3:24" s="26" customFormat="1" x14ac:dyDescent="0.25">
      <c r="C144" s="29"/>
      <c r="D144" s="208"/>
      <c r="E144" s="208"/>
      <c r="F144" s="208"/>
      <c r="G144" s="208"/>
      <c r="H144" s="208"/>
      <c r="K144" s="208"/>
      <c r="L144" s="208"/>
      <c r="N144" s="29"/>
      <c r="Q144" s="29"/>
      <c r="R144" s="208"/>
      <c r="S144" s="208"/>
      <c r="T144" s="29"/>
      <c r="U144" s="208"/>
      <c r="X144" s="208"/>
    </row>
    <row r="145" spans="3:24" s="26" customFormat="1" x14ac:dyDescent="0.25">
      <c r="C145" s="29"/>
      <c r="D145" s="208"/>
      <c r="E145" s="208"/>
      <c r="F145" s="208"/>
      <c r="G145" s="208"/>
      <c r="H145" s="208"/>
      <c r="K145" s="208"/>
      <c r="L145" s="208"/>
      <c r="N145" s="29"/>
      <c r="Q145" s="29"/>
      <c r="R145" s="208"/>
      <c r="S145" s="208"/>
      <c r="T145" s="29"/>
      <c r="U145" s="208"/>
      <c r="X145" s="208"/>
    </row>
    <row r="146" spans="3:24" s="26" customFormat="1" x14ac:dyDescent="0.25">
      <c r="C146" s="29"/>
      <c r="D146" s="208"/>
      <c r="E146" s="208"/>
      <c r="F146" s="208"/>
      <c r="G146" s="208"/>
      <c r="H146" s="208"/>
      <c r="K146" s="208"/>
      <c r="L146" s="208"/>
      <c r="N146" s="29"/>
      <c r="Q146" s="29"/>
      <c r="R146" s="208"/>
      <c r="S146" s="208"/>
      <c r="T146" s="29"/>
      <c r="U146" s="208"/>
      <c r="X146" s="208"/>
    </row>
    <row r="147" spans="3:24" s="26" customFormat="1" x14ac:dyDescent="0.25">
      <c r="C147" s="29"/>
      <c r="D147" s="208"/>
      <c r="E147" s="208"/>
      <c r="F147" s="208"/>
      <c r="G147" s="208"/>
      <c r="H147" s="208"/>
      <c r="K147" s="208"/>
      <c r="L147" s="208"/>
      <c r="N147" s="29"/>
      <c r="Q147" s="29"/>
      <c r="R147" s="208"/>
      <c r="S147" s="208"/>
      <c r="T147" s="29"/>
      <c r="U147" s="208"/>
      <c r="X147" s="208"/>
    </row>
    <row r="148" spans="3:24" s="26" customFormat="1" x14ac:dyDescent="0.25">
      <c r="C148" s="29"/>
      <c r="D148" s="208"/>
      <c r="E148" s="208"/>
      <c r="F148" s="208"/>
      <c r="G148" s="208"/>
      <c r="H148" s="208"/>
      <c r="K148" s="208"/>
      <c r="L148" s="208"/>
      <c r="N148" s="29"/>
      <c r="Q148" s="29"/>
      <c r="R148" s="208"/>
      <c r="S148" s="208"/>
      <c r="T148" s="29"/>
      <c r="U148" s="208"/>
      <c r="X148" s="208"/>
    </row>
    <row r="149" spans="3:24" s="26" customFormat="1" x14ac:dyDescent="0.25">
      <c r="C149" s="29"/>
      <c r="D149" s="208"/>
      <c r="E149" s="208"/>
      <c r="F149" s="208"/>
      <c r="G149" s="208"/>
      <c r="H149" s="208"/>
      <c r="K149" s="208"/>
      <c r="L149" s="208"/>
      <c r="N149" s="29"/>
      <c r="Q149" s="29"/>
      <c r="R149" s="208"/>
      <c r="S149" s="208"/>
      <c r="T149" s="29"/>
      <c r="U149" s="208"/>
      <c r="X149" s="208"/>
    </row>
    <row r="150" spans="3:24" s="26" customFormat="1" x14ac:dyDescent="0.25">
      <c r="C150" s="29"/>
      <c r="D150" s="208"/>
      <c r="E150" s="208"/>
      <c r="F150" s="208"/>
      <c r="G150" s="208"/>
      <c r="H150" s="208"/>
      <c r="K150" s="208"/>
      <c r="L150" s="208"/>
      <c r="N150" s="29"/>
      <c r="Q150" s="29"/>
      <c r="R150" s="208"/>
      <c r="S150" s="208"/>
      <c r="T150" s="29"/>
      <c r="U150" s="208"/>
      <c r="X150" s="208"/>
    </row>
    <row r="151" spans="3:24" s="26" customFormat="1" x14ac:dyDescent="0.25">
      <c r="C151" s="29"/>
      <c r="D151" s="208"/>
      <c r="E151" s="208"/>
      <c r="F151" s="208"/>
      <c r="G151" s="208"/>
      <c r="H151" s="208"/>
      <c r="K151" s="208"/>
      <c r="L151" s="208"/>
      <c r="N151" s="29"/>
      <c r="Q151" s="29"/>
      <c r="R151" s="208"/>
      <c r="S151" s="208"/>
      <c r="T151" s="29"/>
      <c r="U151" s="208"/>
      <c r="X151" s="208"/>
    </row>
    <row r="152" spans="3:24" s="26" customFormat="1" x14ac:dyDescent="0.25">
      <c r="C152" s="29"/>
      <c r="D152" s="208"/>
      <c r="E152" s="208"/>
      <c r="F152" s="208"/>
      <c r="G152" s="208"/>
      <c r="H152" s="208"/>
      <c r="K152" s="208"/>
      <c r="L152" s="208"/>
      <c r="N152" s="29"/>
      <c r="Q152" s="29"/>
      <c r="R152" s="208"/>
      <c r="S152" s="208"/>
      <c r="T152" s="29"/>
      <c r="U152" s="208"/>
      <c r="X152" s="208"/>
    </row>
    <row r="153" spans="3:24" s="26" customFormat="1" x14ac:dyDescent="0.25">
      <c r="C153" s="29"/>
      <c r="D153" s="208"/>
      <c r="E153" s="208"/>
      <c r="F153" s="208"/>
      <c r="G153" s="208"/>
      <c r="H153" s="208"/>
      <c r="K153" s="208"/>
      <c r="L153" s="208"/>
      <c r="N153" s="29"/>
      <c r="Q153" s="29"/>
      <c r="R153" s="208"/>
      <c r="S153" s="208"/>
      <c r="T153" s="29"/>
      <c r="U153" s="208"/>
      <c r="X153" s="208"/>
    </row>
    <row r="154" spans="3:24" s="26" customFormat="1" x14ac:dyDescent="0.25">
      <c r="C154" s="29"/>
      <c r="D154" s="208"/>
      <c r="E154" s="208"/>
      <c r="F154" s="208"/>
      <c r="G154" s="208"/>
      <c r="H154" s="208"/>
      <c r="K154" s="208"/>
      <c r="L154" s="208"/>
      <c r="N154" s="29"/>
      <c r="Q154" s="29"/>
      <c r="R154" s="208"/>
      <c r="S154" s="208"/>
      <c r="T154" s="29"/>
      <c r="U154" s="208"/>
      <c r="X154" s="208"/>
    </row>
    <row r="155" spans="3:24" s="26" customFormat="1" x14ac:dyDescent="0.25">
      <c r="C155" s="29"/>
      <c r="D155" s="208"/>
      <c r="E155" s="208"/>
      <c r="F155" s="208"/>
      <c r="G155" s="208"/>
      <c r="H155" s="208"/>
      <c r="K155" s="208"/>
      <c r="L155" s="208"/>
      <c r="N155" s="29"/>
      <c r="Q155" s="29"/>
      <c r="R155" s="208"/>
      <c r="S155" s="208"/>
      <c r="T155" s="29"/>
      <c r="U155" s="208"/>
      <c r="X155" s="208"/>
    </row>
    <row r="156" spans="3:24" s="26" customFormat="1" x14ac:dyDescent="0.25">
      <c r="C156" s="29"/>
      <c r="D156" s="208"/>
      <c r="E156" s="208"/>
      <c r="F156" s="208"/>
      <c r="G156" s="208"/>
      <c r="H156" s="208"/>
      <c r="K156" s="208"/>
      <c r="L156" s="208"/>
      <c r="N156" s="29"/>
      <c r="Q156" s="29"/>
      <c r="R156" s="208"/>
      <c r="S156" s="208"/>
      <c r="T156" s="29"/>
      <c r="U156" s="208"/>
      <c r="X156" s="208"/>
    </row>
    <row r="157" spans="3:24" s="26" customFormat="1" x14ac:dyDescent="0.25">
      <c r="C157" s="29"/>
      <c r="D157" s="208"/>
      <c r="E157" s="208"/>
      <c r="F157" s="208"/>
      <c r="G157" s="208"/>
      <c r="H157" s="208"/>
      <c r="K157" s="208"/>
      <c r="L157" s="208"/>
      <c r="N157" s="29"/>
      <c r="Q157" s="29"/>
      <c r="R157" s="208"/>
      <c r="S157" s="208"/>
      <c r="T157" s="29"/>
      <c r="U157" s="208"/>
      <c r="X157" s="208"/>
    </row>
    <row r="158" spans="3:24" s="26" customFormat="1" x14ac:dyDescent="0.25">
      <c r="C158" s="29"/>
      <c r="D158" s="208"/>
      <c r="E158" s="208"/>
      <c r="F158" s="208"/>
      <c r="G158" s="208"/>
      <c r="H158" s="208"/>
      <c r="K158" s="208"/>
      <c r="L158" s="208"/>
      <c r="N158" s="29"/>
      <c r="Q158" s="29"/>
      <c r="R158" s="208"/>
      <c r="S158" s="208"/>
      <c r="T158" s="29"/>
      <c r="U158" s="208"/>
      <c r="X158" s="208"/>
    </row>
    <row r="159" spans="3:24" s="26" customFormat="1" x14ac:dyDescent="0.25">
      <c r="C159" s="29"/>
      <c r="D159" s="208"/>
      <c r="E159" s="208"/>
      <c r="F159" s="208"/>
      <c r="G159" s="208"/>
      <c r="H159" s="208"/>
      <c r="K159" s="208"/>
      <c r="L159" s="208"/>
      <c r="N159" s="29"/>
      <c r="Q159" s="29"/>
      <c r="R159" s="208"/>
      <c r="S159" s="208"/>
      <c r="T159" s="29"/>
      <c r="U159" s="208"/>
      <c r="X159" s="208"/>
    </row>
    <row r="160" spans="3:24" s="26" customFormat="1" x14ac:dyDescent="0.25">
      <c r="C160" s="29"/>
      <c r="D160" s="208"/>
      <c r="E160" s="208"/>
      <c r="F160" s="208"/>
      <c r="G160" s="208"/>
      <c r="H160" s="208"/>
      <c r="K160" s="208"/>
      <c r="L160" s="208"/>
      <c r="N160" s="29"/>
      <c r="Q160" s="29"/>
      <c r="R160" s="208"/>
      <c r="S160" s="208"/>
      <c r="T160" s="29"/>
      <c r="U160" s="208"/>
      <c r="X160" s="208"/>
    </row>
    <row r="161" spans="3:24" s="26" customFormat="1" x14ac:dyDescent="0.25">
      <c r="C161" s="29"/>
      <c r="D161" s="208"/>
      <c r="E161" s="208"/>
      <c r="F161" s="208"/>
      <c r="G161" s="208"/>
      <c r="H161" s="208"/>
      <c r="K161" s="208"/>
      <c r="L161" s="208"/>
      <c r="N161" s="29"/>
      <c r="Q161" s="29"/>
      <c r="R161" s="208"/>
      <c r="S161" s="208"/>
      <c r="T161" s="29"/>
      <c r="U161" s="208"/>
      <c r="X161" s="208"/>
    </row>
    <row r="162" spans="3:24" s="26" customFormat="1" x14ac:dyDescent="0.25">
      <c r="C162" s="29"/>
      <c r="D162" s="208"/>
      <c r="E162" s="208"/>
      <c r="F162" s="208"/>
      <c r="G162" s="208"/>
      <c r="H162" s="208"/>
      <c r="K162" s="208"/>
      <c r="L162" s="208"/>
      <c r="N162" s="29"/>
      <c r="Q162" s="29"/>
      <c r="R162" s="208"/>
      <c r="S162" s="208"/>
      <c r="T162" s="29"/>
      <c r="U162" s="208"/>
      <c r="X162" s="208"/>
    </row>
    <row r="163" spans="3:24" s="26" customFormat="1" x14ac:dyDescent="0.25">
      <c r="C163" s="29"/>
      <c r="D163" s="208"/>
      <c r="E163" s="208"/>
      <c r="F163" s="208"/>
      <c r="G163" s="208"/>
      <c r="H163" s="208"/>
      <c r="K163" s="208"/>
      <c r="L163" s="208"/>
      <c r="N163" s="29"/>
      <c r="Q163" s="29"/>
      <c r="R163" s="208"/>
      <c r="S163" s="208"/>
      <c r="T163" s="29"/>
      <c r="U163" s="208"/>
      <c r="X163" s="208"/>
    </row>
    <row r="164" spans="3:24" s="26" customFormat="1" x14ac:dyDescent="0.25">
      <c r="C164" s="29"/>
      <c r="D164" s="208"/>
      <c r="E164" s="208"/>
      <c r="F164" s="208"/>
      <c r="G164" s="208"/>
      <c r="H164" s="208"/>
      <c r="K164" s="208"/>
      <c r="L164" s="208"/>
      <c r="N164" s="29"/>
      <c r="Q164" s="29"/>
      <c r="R164" s="208"/>
      <c r="S164" s="208"/>
      <c r="T164" s="29"/>
      <c r="U164" s="208"/>
      <c r="X164" s="208"/>
    </row>
    <row r="165" spans="3:24" s="26" customFormat="1" x14ac:dyDescent="0.25">
      <c r="C165" s="29"/>
      <c r="D165" s="208"/>
      <c r="E165" s="208"/>
      <c r="F165" s="208"/>
      <c r="G165" s="208"/>
      <c r="H165" s="208"/>
      <c r="K165" s="208"/>
      <c r="L165" s="208"/>
      <c r="N165" s="29"/>
      <c r="Q165" s="29"/>
      <c r="R165" s="208"/>
      <c r="S165" s="208"/>
      <c r="T165" s="29"/>
      <c r="U165" s="208"/>
      <c r="X165" s="208"/>
    </row>
    <row r="166" spans="3:24" s="26" customFormat="1" x14ac:dyDescent="0.25">
      <c r="C166" s="29"/>
      <c r="D166" s="208"/>
      <c r="E166" s="208"/>
      <c r="F166" s="208"/>
      <c r="G166" s="208"/>
      <c r="H166" s="208"/>
      <c r="K166" s="208"/>
      <c r="L166" s="208"/>
      <c r="N166" s="29"/>
      <c r="Q166" s="29"/>
      <c r="R166" s="208"/>
      <c r="S166" s="208"/>
      <c r="T166" s="29"/>
      <c r="U166" s="208"/>
      <c r="X166" s="208"/>
    </row>
    <row r="167" spans="3:24" s="26" customFormat="1" x14ac:dyDescent="0.25">
      <c r="C167" s="29"/>
      <c r="D167" s="208"/>
      <c r="E167" s="208"/>
      <c r="F167" s="208"/>
      <c r="G167" s="208"/>
      <c r="H167" s="208"/>
      <c r="K167" s="208"/>
      <c r="L167" s="208"/>
      <c r="N167" s="29"/>
      <c r="Q167" s="29"/>
      <c r="R167" s="208"/>
      <c r="S167" s="208"/>
      <c r="T167" s="29"/>
      <c r="U167" s="208"/>
      <c r="X167" s="208"/>
    </row>
    <row r="168" spans="3:24" s="26" customFormat="1" x14ac:dyDescent="0.25">
      <c r="C168" s="29"/>
      <c r="D168" s="208"/>
      <c r="E168" s="208"/>
      <c r="F168" s="208"/>
      <c r="G168" s="208"/>
      <c r="H168" s="208"/>
      <c r="K168" s="208"/>
      <c r="L168" s="208"/>
      <c r="N168" s="29"/>
      <c r="Q168" s="29"/>
      <c r="R168" s="208"/>
      <c r="S168" s="208"/>
      <c r="T168" s="29"/>
      <c r="U168" s="208"/>
      <c r="X168" s="208"/>
    </row>
    <row r="169" spans="3:24" s="26" customFormat="1" x14ac:dyDescent="0.25">
      <c r="C169" s="29"/>
      <c r="D169" s="208"/>
      <c r="E169" s="208"/>
      <c r="F169" s="208"/>
      <c r="G169" s="208"/>
      <c r="H169" s="208"/>
      <c r="K169" s="208"/>
      <c r="L169" s="208"/>
      <c r="N169" s="29"/>
      <c r="Q169" s="29"/>
      <c r="R169" s="208"/>
      <c r="S169" s="208"/>
      <c r="T169" s="29"/>
      <c r="U169" s="208"/>
      <c r="X169" s="208"/>
    </row>
    <row r="170" spans="3:24" s="26" customFormat="1" x14ac:dyDescent="0.25">
      <c r="C170" s="29"/>
      <c r="D170" s="208"/>
      <c r="E170" s="208"/>
      <c r="F170" s="208"/>
      <c r="G170" s="208"/>
      <c r="H170" s="208"/>
      <c r="K170" s="208"/>
      <c r="L170" s="208"/>
      <c r="N170" s="29"/>
      <c r="Q170" s="29"/>
      <c r="R170" s="208"/>
      <c r="S170" s="208"/>
      <c r="T170" s="29"/>
      <c r="U170" s="208"/>
      <c r="X170" s="208"/>
    </row>
    <row r="171" spans="3:24" s="26" customFormat="1" x14ac:dyDescent="0.25">
      <c r="C171" s="29"/>
      <c r="D171" s="208"/>
      <c r="E171" s="208"/>
      <c r="F171" s="208"/>
      <c r="G171" s="208"/>
      <c r="H171" s="208"/>
      <c r="K171" s="208"/>
      <c r="L171" s="208"/>
      <c r="N171" s="29"/>
      <c r="Q171" s="29"/>
      <c r="R171" s="208"/>
      <c r="S171" s="208"/>
      <c r="T171" s="29"/>
      <c r="U171" s="208"/>
      <c r="X171" s="208"/>
    </row>
    <row r="172" spans="3:24" s="26" customFormat="1" x14ac:dyDescent="0.25">
      <c r="C172" s="29"/>
      <c r="D172" s="208"/>
      <c r="E172" s="208"/>
      <c r="F172" s="208"/>
      <c r="G172" s="208"/>
      <c r="H172" s="208"/>
      <c r="K172" s="208"/>
      <c r="L172" s="208"/>
      <c r="N172" s="29"/>
      <c r="Q172" s="29"/>
      <c r="R172" s="208"/>
      <c r="S172" s="208"/>
      <c r="T172" s="29"/>
      <c r="U172" s="208"/>
      <c r="X172" s="208"/>
    </row>
    <row r="173" spans="3:24" s="26" customFormat="1" x14ac:dyDescent="0.25">
      <c r="C173" s="29"/>
      <c r="D173" s="208"/>
      <c r="E173" s="208"/>
      <c r="F173" s="208"/>
      <c r="G173" s="208"/>
      <c r="H173" s="208"/>
      <c r="K173" s="208"/>
      <c r="L173" s="208"/>
      <c r="N173" s="29"/>
      <c r="Q173" s="29"/>
      <c r="R173" s="208"/>
      <c r="S173" s="208"/>
      <c r="T173" s="29"/>
      <c r="U173" s="208"/>
      <c r="X173" s="208"/>
    </row>
    <row r="174" spans="3:24" s="26" customFormat="1" x14ac:dyDescent="0.25">
      <c r="C174" s="29"/>
      <c r="D174" s="208"/>
      <c r="E174" s="208"/>
      <c r="F174" s="208"/>
      <c r="G174" s="208"/>
      <c r="H174" s="208"/>
      <c r="K174" s="208"/>
      <c r="L174" s="208"/>
      <c r="N174" s="29"/>
      <c r="Q174" s="29"/>
      <c r="R174" s="208"/>
      <c r="S174" s="208"/>
      <c r="T174" s="29"/>
      <c r="U174" s="208"/>
      <c r="X174" s="208"/>
    </row>
    <row r="175" spans="3:24" s="26" customFormat="1" x14ac:dyDescent="0.25">
      <c r="C175" s="29"/>
      <c r="D175" s="208"/>
      <c r="E175" s="208"/>
      <c r="F175" s="208"/>
      <c r="G175" s="208"/>
      <c r="H175" s="208"/>
      <c r="K175" s="208"/>
      <c r="L175" s="208"/>
      <c r="N175" s="29"/>
      <c r="Q175" s="29"/>
      <c r="R175" s="208"/>
      <c r="S175" s="208"/>
      <c r="T175" s="29"/>
      <c r="U175" s="208"/>
      <c r="X175" s="208"/>
    </row>
    <row r="176" spans="3:24" s="26" customFormat="1" x14ac:dyDescent="0.25">
      <c r="C176" s="29"/>
      <c r="D176" s="208"/>
      <c r="E176" s="208"/>
      <c r="F176" s="208"/>
      <c r="G176" s="208"/>
      <c r="H176" s="208"/>
      <c r="K176" s="208"/>
      <c r="L176" s="208"/>
      <c r="N176" s="29"/>
      <c r="Q176" s="29"/>
      <c r="R176" s="208"/>
      <c r="S176" s="208"/>
      <c r="T176" s="29"/>
      <c r="U176" s="208"/>
      <c r="X176" s="208"/>
    </row>
    <row r="177" spans="3:24" s="26" customFormat="1" x14ac:dyDescent="0.25">
      <c r="C177" s="29"/>
      <c r="D177" s="208"/>
      <c r="E177" s="208"/>
      <c r="F177" s="208"/>
      <c r="G177" s="208"/>
      <c r="H177" s="208"/>
      <c r="K177" s="208"/>
      <c r="L177" s="208"/>
      <c r="N177" s="29"/>
      <c r="Q177" s="29"/>
      <c r="R177" s="208"/>
      <c r="S177" s="208"/>
      <c r="T177" s="29"/>
      <c r="U177" s="208"/>
      <c r="X177" s="208"/>
    </row>
    <row r="178" spans="3:24" s="26" customFormat="1" x14ac:dyDescent="0.25">
      <c r="C178" s="29"/>
      <c r="D178" s="208"/>
      <c r="E178" s="208"/>
      <c r="F178" s="208"/>
      <c r="G178" s="208"/>
      <c r="H178" s="208"/>
      <c r="K178" s="208"/>
      <c r="L178" s="208"/>
      <c r="N178" s="29"/>
      <c r="Q178" s="29"/>
      <c r="R178" s="208"/>
      <c r="S178" s="208"/>
      <c r="T178" s="29"/>
      <c r="U178" s="208"/>
      <c r="X178" s="208"/>
    </row>
    <row r="179" spans="3:24" s="26" customFormat="1" x14ac:dyDescent="0.25">
      <c r="C179" s="29"/>
      <c r="D179" s="208"/>
      <c r="E179" s="208"/>
      <c r="F179" s="208"/>
      <c r="G179" s="208"/>
      <c r="H179" s="208"/>
      <c r="K179" s="208"/>
      <c r="L179" s="208"/>
      <c r="N179" s="29"/>
      <c r="Q179" s="29"/>
      <c r="R179" s="208"/>
      <c r="S179" s="208"/>
      <c r="T179" s="29"/>
      <c r="U179" s="208"/>
      <c r="X179" s="208"/>
    </row>
    <row r="180" spans="3:24" s="26" customFormat="1" x14ac:dyDescent="0.25">
      <c r="C180" s="29"/>
      <c r="D180" s="208"/>
      <c r="E180" s="208"/>
      <c r="F180" s="208"/>
      <c r="G180" s="208"/>
      <c r="H180" s="208"/>
      <c r="K180" s="208"/>
      <c r="L180" s="208"/>
      <c r="N180" s="29"/>
      <c r="Q180" s="29"/>
      <c r="R180" s="208"/>
      <c r="S180" s="208"/>
      <c r="T180" s="29"/>
      <c r="U180" s="208"/>
      <c r="X180" s="208"/>
    </row>
    <row r="181" spans="3:24" s="26" customFormat="1" x14ac:dyDescent="0.25">
      <c r="C181" s="29"/>
      <c r="D181" s="208"/>
      <c r="E181" s="208"/>
      <c r="F181" s="208"/>
      <c r="G181" s="208"/>
      <c r="H181" s="208"/>
      <c r="K181" s="208"/>
      <c r="L181" s="208"/>
      <c r="N181" s="29"/>
      <c r="Q181" s="29"/>
      <c r="R181" s="208"/>
      <c r="S181" s="208"/>
      <c r="T181" s="29"/>
      <c r="U181" s="208"/>
      <c r="X181" s="208"/>
    </row>
    <row r="182" spans="3:24" s="26" customFormat="1" x14ac:dyDescent="0.25">
      <c r="C182" s="29"/>
      <c r="D182" s="208"/>
      <c r="E182" s="208"/>
      <c r="F182" s="208"/>
      <c r="G182" s="208"/>
      <c r="H182" s="208"/>
      <c r="K182" s="208"/>
      <c r="L182" s="208"/>
      <c r="N182" s="29"/>
      <c r="Q182" s="29"/>
      <c r="R182" s="208"/>
      <c r="S182" s="208"/>
      <c r="T182" s="29"/>
      <c r="U182" s="208"/>
      <c r="X182" s="208"/>
    </row>
    <row r="183" spans="3:24" s="26" customFormat="1" x14ac:dyDescent="0.25">
      <c r="C183" s="29"/>
      <c r="D183" s="208"/>
      <c r="E183" s="208"/>
      <c r="F183" s="208"/>
      <c r="G183" s="208"/>
      <c r="H183" s="208"/>
      <c r="K183" s="208"/>
      <c r="L183" s="208"/>
      <c r="N183" s="29"/>
      <c r="Q183" s="29"/>
      <c r="R183" s="208"/>
      <c r="S183" s="208"/>
      <c r="T183" s="29"/>
      <c r="U183" s="208"/>
      <c r="X183" s="208"/>
    </row>
    <row r="184" spans="3:24" s="26" customFormat="1" x14ac:dyDescent="0.25">
      <c r="C184" s="29"/>
      <c r="D184" s="208"/>
      <c r="E184" s="208"/>
      <c r="F184" s="208"/>
      <c r="G184" s="208"/>
      <c r="H184" s="208"/>
      <c r="K184" s="208"/>
      <c r="L184" s="208"/>
      <c r="N184" s="29"/>
      <c r="Q184" s="29"/>
      <c r="R184" s="208"/>
      <c r="S184" s="208"/>
      <c r="T184" s="29"/>
      <c r="U184" s="208"/>
      <c r="X184" s="208"/>
    </row>
    <row r="185" spans="3:24" s="26" customFormat="1" x14ac:dyDescent="0.25">
      <c r="C185" s="29"/>
      <c r="D185" s="208"/>
      <c r="E185" s="208"/>
      <c r="F185" s="208"/>
      <c r="G185" s="208"/>
      <c r="H185" s="208"/>
      <c r="K185" s="208"/>
      <c r="L185" s="208"/>
      <c r="N185" s="29"/>
      <c r="Q185" s="29"/>
      <c r="R185" s="208"/>
      <c r="S185" s="208"/>
      <c r="T185" s="29"/>
      <c r="U185" s="208"/>
      <c r="X185" s="208"/>
    </row>
  </sheetData>
  <mergeCells count="12">
    <mergeCell ref="A42:A43"/>
    <mergeCell ref="A32:A41"/>
    <mergeCell ref="A9:A31"/>
    <mergeCell ref="B9:D9"/>
    <mergeCell ref="B19:B20"/>
    <mergeCell ref="C19:C20"/>
    <mergeCell ref="D19:D20"/>
    <mergeCell ref="F7:F8"/>
    <mergeCell ref="Y9:AA9"/>
    <mergeCell ref="V9:X9"/>
    <mergeCell ref="AE9:AG9"/>
    <mergeCell ref="AB9:AD9"/>
  </mergeCells>
  <conditionalFormatting sqref="C37">
    <cfRule type="cellIs" dxfId="9" priority="22" operator="greaterThan">
      <formula>$C$42</formula>
    </cfRule>
  </conditionalFormatting>
  <conditionalFormatting sqref="C37">
    <cfRule type="cellIs" dxfId="8" priority="44" operator="lessThan">
      <formula>$C$42</formula>
    </cfRule>
    <cfRule type="iconSet" priority="47">
      <iconSet reverse="1">
        <cfvo type="percent" val="0"/>
        <cfvo type="num" val="$C$42-10"/>
        <cfvo type="num" val="$C$42"/>
      </iconSet>
    </cfRule>
    <cfRule type="iconSet" priority="48">
      <iconSet>
        <cfvo type="percent" val="0"/>
        <cfvo type="num" val="0"/>
        <cfvo type="num" val="$C$42-10"/>
      </iconSet>
    </cfRule>
  </conditionalFormatting>
  <conditionalFormatting sqref="B11:D12">
    <cfRule type="expression" dxfId="7" priority="57">
      <formula>"Wenn($C$11=No);"</formula>
    </cfRule>
    <cfRule type="expression" priority="58">
      <formula>"Wenn+$C$11=""No"""</formula>
    </cfRule>
    <cfRule type="cellIs" dxfId="6" priority="59" operator="equal">
      <formula>$G$13=No</formula>
    </cfRule>
  </conditionalFormatting>
  <conditionalFormatting sqref="P23:Q24">
    <cfRule type="expression" dxfId="5" priority="60">
      <formula>IF(AND($Q$23=6,$Q$13&lt;&gt;"3-phase GDU"),1,0)</formula>
    </cfRule>
  </conditionalFormatting>
  <conditionalFormatting sqref="F31:H40">
    <cfRule type="expression" dxfId="4" priority="5">
      <formula>IF(OR($G$7="S12ZVMA",$G$7="S12ZVMB",$G$7="S12ZVML12",$G$7="S12ZVM32"),1,0)</formula>
    </cfRule>
  </conditionalFormatting>
  <conditionalFormatting sqref="V13:X41">
    <cfRule type="expression" dxfId="3" priority="4">
      <formula>IF($G$7="S12ZVMB",1,0)</formula>
    </cfRule>
  </conditionalFormatting>
  <conditionalFormatting sqref="Y13:AA41">
    <cfRule type="expression" dxfId="2" priority="3">
      <formula>IF($G$7="S12ZVMC256",1,0)</formula>
    </cfRule>
  </conditionalFormatting>
  <conditionalFormatting sqref="AE13:AG44">
    <cfRule type="expression" dxfId="1" priority="2">
      <formula>IF($G$7&lt;&gt;"S12ZVMC256",1,0)</formula>
    </cfRule>
  </conditionalFormatting>
  <conditionalFormatting sqref="AB13:AD41">
    <cfRule type="expression" dxfId="0" priority="1">
      <formula>IF($G$7&lt;&gt;"S12ZVMB",1,0)</formula>
    </cfRule>
  </conditionalFormatting>
  <dataValidations count="8">
    <dataValidation type="list" allowBlank="1" showInputMessage="1" showErrorMessage="1" sqref="Q18">
      <formula1>"1,2"</formula1>
    </dataValidation>
    <dataValidation type="list" allowBlank="1" showInputMessage="1" showErrorMessage="1" sqref="Q12 T12 W12 Z12 G13 AF12 G32 G37">
      <formula1>"Yes,No"</formula1>
    </dataValidation>
    <dataValidation type="list" allowBlank="1" showInputMessage="1" showErrorMessage="1" sqref="W27">
      <formula1>"25,50,75"</formula1>
    </dataValidation>
    <dataValidation type="list" allowBlank="1" showInputMessage="1" showErrorMessage="1" sqref="T13">
      <formula1>"1,2,3"</formula1>
    </dataValidation>
    <dataValidation type="list" allowBlank="1" showInputMessage="1" showErrorMessage="1" sqref="C42">
      <formula1>"150,175"</formula1>
    </dataValidation>
    <dataValidation type="list" showInputMessage="1" showErrorMessage="1" sqref="N23:O23">
      <formula1>"DC motor - HS only,DC motor,block commutation,sine commutation"</formula1>
    </dataValidation>
    <dataValidation type="list" allowBlank="1" showInputMessage="1" showErrorMessage="1" sqref="AC15 AC18">
      <formula1>"No,Yes"</formula1>
    </dataValidation>
    <dataValidation type="list" allowBlank="1" showInputMessage="1" showErrorMessage="1" sqref="G7">
      <formula1>"S12ZVML12, S12ZVM32,S12ZVMC256,S12ZVMA,S12ZVMB"</formula1>
    </dataValidation>
  </dataValidations>
  <pageMargins left="0.7" right="0.7" top="0.78740157499999996" bottom="0.78740157499999996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28" sqref="B28"/>
    </sheetView>
  </sheetViews>
  <sheetFormatPr defaultRowHeight="15" x14ac:dyDescent="0.25"/>
  <cols>
    <col min="1" max="1" width="72.85546875" bestFit="1" customWidth="1"/>
    <col min="2" max="2" width="14.28515625" bestFit="1" customWidth="1"/>
  </cols>
  <sheetData>
    <row r="1" spans="1:7" x14ac:dyDescent="0.25">
      <c r="A1" s="251" t="s">
        <v>334</v>
      </c>
    </row>
    <row r="3" spans="1:7" x14ac:dyDescent="0.25">
      <c r="A3" s="251" t="s">
        <v>340</v>
      </c>
      <c r="B3" s="251" t="s">
        <v>339</v>
      </c>
      <c r="C3" s="251" t="s">
        <v>273</v>
      </c>
      <c r="D3" s="251" t="s">
        <v>274</v>
      </c>
      <c r="E3" s="251" t="s">
        <v>275</v>
      </c>
      <c r="F3" s="251" t="s">
        <v>276</v>
      </c>
    </row>
    <row r="4" spans="1:7" x14ac:dyDescent="0.25">
      <c r="A4" s="257" t="s">
        <v>277</v>
      </c>
      <c r="B4" s="257"/>
      <c r="C4" s="105"/>
      <c r="D4" s="105"/>
      <c r="E4" s="105"/>
      <c r="F4" s="105"/>
    </row>
    <row r="5" spans="1:7" x14ac:dyDescent="0.25">
      <c r="A5" t="s">
        <v>335</v>
      </c>
      <c r="B5" t="s">
        <v>267</v>
      </c>
      <c r="D5">
        <v>1.7</v>
      </c>
      <c r="F5" t="s">
        <v>4</v>
      </c>
    </row>
    <row r="6" spans="1:7" x14ac:dyDescent="0.25">
      <c r="A6" t="s">
        <v>336</v>
      </c>
      <c r="B6" t="s">
        <v>268</v>
      </c>
      <c r="D6">
        <v>3.8</v>
      </c>
      <c r="F6" t="s">
        <v>4</v>
      </c>
    </row>
    <row r="7" spans="1:7" x14ac:dyDescent="0.25">
      <c r="A7" t="s">
        <v>337</v>
      </c>
      <c r="B7" t="s">
        <v>269</v>
      </c>
      <c r="D7">
        <v>2.1999999999999999E-2</v>
      </c>
      <c r="F7" t="s">
        <v>4</v>
      </c>
    </row>
    <row r="8" spans="1:7" x14ac:dyDescent="0.25">
      <c r="A8" t="s">
        <v>338</v>
      </c>
      <c r="B8" t="s">
        <v>270</v>
      </c>
      <c r="D8">
        <v>0</v>
      </c>
      <c r="F8" t="s">
        <v>4</v>
      </c>
    </row>
    <row r="9" spans="1:7" x14ac:dyDescent="0.25">
      <c r="A9" s="257" t="s">
        <v>278</v>
      </c>
      <c r="B9" s="257"/>
      <c r="C9" s="105"/>
      <c r="D9" s="105"/>
      <c r="E9" s="105"/>
      <c r="F9" s="105"/>
    </row>
    <row r="10" spans="1:7" x14ac:dyDescent="0.25">
      <c r="A10" t="s">
        <v>286</v>
      </c>
      <c r="B10" t="s">
        <v>271</v>
      </c>
      <c r="C10">
        <v>-1</v>
      </c>
      <c r="E10">
        <v>0.5</v>
      </c>
      <c r="F10" t="s">
        <v>3</v>
      </c>
    </row>
    <row r="11" spans="1:7" x14ac:dyDescent="0.25">
      <c r="A11" t="s">
        <v>287</v>
      </c>
      <c r="B11" t="s">
        <v>271</v>
      </c>
      <c r="C11">
        <v>0.9</v>
      </c>
      <c r="E11">
        <v>5</v>
      </c>
      <c r="F11" t="s">
        <v>3</v>
      </c>
    </row>
    <row r="12" spans="1:7" x14ac:dyDescent="0.25">
      <c r="A12" t="s">
        <v>288</v>
      </c>
      <c r="B12" t="s">
        <v>271</v>
      </c>
      <c r="C12">
        <v>-1</v>
      </c>
      <c r="E12">
        <v>0.4</v>
      </c>
      <c r="F12" t="s">
        <v>3</v>
      </c>
    </row>
    <row r="13" spans="1:7" x14ac:dyDescent="0.25">
      <c r="A13" t="s">
        <v>289</v>
      </c>
      <c r="B13" t="s">
        <v>271</v>
      </c>
      <c r="C13">
        <v>1.1000000000000001</v>
      </c>
      <c r="E13">
        <v>5</v>
      </c>
      <c r="F13" t="s">
        <v>3</v>
      </c>
    </row>
    <row r="14" spans="1:7" x14ac:dyDescent="0.25">
      <c r="A14" t="s">
        <v>272</v>
      </c>
      <c r="B14" t="s">
        <v>285</v>
      </c>
      <c r="D14">
        <v>0.17499999999999999</v>
      </c>
      <c r="F14" t="s">
        <v>3</v>
      </c>
    </row>
    <row r="15" spans="1:7" x14ac:dyDescent="0.25">
      <c r="A15" t="s">
        <v>279</v>
      </c>
      <c r="B15" t="s">
        <v>284</v>
      </c>
      <c r="C15">
        <v>5</v>
      </c>
      <c r="D15">
        <v>32.5</v>
      </c>
      <c r="E15">
        <v>50</v>
      </c>
      <c r="F15" t="s">
        <v>280</v>
      </c>
    </row>
    <row r="16" spans="1:7" x14ac:dyDescent="0.25">
      <c r="A16" t="s">
        <v>281</v>
      </c>
      <c r="B16" t="s">
        <v>283</v>
      </c>
      <c r="C16">
        <v>10</v>
      </c>
      <c r="D16">
        <v>65</v>
      </c>
      <c r="E16">
        <v>100</v>
      </c>
      <c r="F16" t="s">
        <v>280</v>
      </c>
      <c r="G16" s="258" t="s">
        <v>282</v>
      </c>
    </row>
    <row r="17" spans="1:6" x14ac:dyDescent="0.25">
      <c r="A17" t="s">
        <v>290</v>
      </c>
      <c r="B17" t="s">
        <v>291</v>
      </c>
      <c r="C17">
        <v>-3</v>
      </c>
      <c r="D17">
        <v>0</v>
      </c>
      <c r="E17">
        <v>3</v>
      </c>
      <c r="F17" t="s">
        <v>14</v>
      </c>
    </row>
    <row r="18" spans="1:6" x14ac:dyDescent="0.25">
      <c r="A18" t="s">
        <v>341</v>
      </c>
      <c r="B18" t="s">
        <v>292</v>
      </c>
      <c r="C18">
        <v>2.75</v>
      </c>
      <c r="D18">
        <v>3.5</v>
      </c>
      <c r="E18">
        <v>4.5</v>
      </c>
      <c r="F18" t="s">
        <v>3</v>
      </c>
    </row>
    <row r="19" spans="1:6" x14ac:dyDescent="0.25">
      <c r="A19" t="s">
        <v>342</v>
      </c>
      <c r="B19" t="s">
        <v>292</v>
      </c>
      <c r="C19">
        <v>2</v>
      </c>
      <c r="D19">
        <v>2.5</v>
      </c>
      <c r="E19">
        <v>3</v>
      </c>
      <c r="F19" t="s">
        <v>3</v>
      </c>
    </row>
    <row r="20" spans="1:6" x14ac:dyDescent="0.25">
      <c r="A20" t="s">
        <v>346</v>
      </c>
      <c r="B20" t="s">
        <v>293</v>
      </c>
      <c r="C20">
        <v>0.5</v>
      </c>
      <c r="D20">
        <v>1.5</v>
      </c>
      <c r="E20">
        <v>2.25</v>
      </c>
      <c r="F20" t="s">
        <v>3</v>
      </c>
    </row>
    <row r="21" spans="1:6" x14ac:dyDescent="0.25">
      <c r="A21" t="s">
        <v>343</v>
      </c>
      <c r="B21" t="s">
        <v>293</v>
      </c>
      <c r="C21">
        <v>2</v>
      </c>
      <c r="D21">
        <v>2.5</v>
      </c>
      <c r="E21">
        <v>3</v>
      </c>
      <c r="F21" t="s">
        <v>3</v>
      </c>
    </row>
    <row r="22" spans="1:6" x14ac:dyDescent="0.25">
      <c r="A22" t="s">
        <v>344</v>
      </c>
      <c r="B22" t="s">
        <v>294</v>
      </c>
      <c r="C22">
        <v>1.5</v>
      </c>
      <c r="D22">
        <v>2</v>
      </c>
      <c r="E22">
        <v>3</v>
      </c>
      <c r="F22" t="s">
        <v>3</v>
      </c>
    </row>
    <row r="23" spans="1:6" x14ac:dyDescent="0.25">
      <c r="A23" t="s">
        <v>345</v>
      </c>
      <c r="B23" t="s">
        <v>294</v>
      </c>
      <c r="C23">
        <v>-0.5</v>
      </c>
      <c r="D23">
        <v>0</v>
      </c>
      <c r="E23">
        <v>0.05</v>
      </c>
      <c r="F23" t="s">
        <v>3</v>
      </c>
    </row>
    <row r="25" spans="1:6" x14ac:dyDescent="0.25">
      <c r="A25" s="252" t="s">
        <v>347</v>
      </c>
      <c r="B25" s="252"/>
      <c r="C25" s="259">
        <f t="shared" ref="C25:E26" si="0">C22/60</f>
        <v>2.5000000000000001E-2</v>
      </c>
      <c r="D25" s="259">
        <f t="shared" si="0"/>
        <v>3.3333333333333333E-2</v>
      </c>
      <c r="E25" s="259">
        <f t="shared" si="0"/>
        <v>0.05</v>
      </c>
      <c r="F25" s="252" t="s">
        <v>4</v>
      </c>
    </row>
    <row r="26" spans="1:6" x14ac:dyDescent="0.25">
      <c r="A26" s="252" t="s">
        <v>348</v>
      </c>
      <c r="B26" s="252"/>
      <c r="C26" s="259">
        <f t="shared" si="0"/>
        <v>-8.3333333333333332E-3</v>
      </c>
      <c r="D26" s="259">
        <f t="shared" si="0"/>
        <v>0</v>
      </c>
      <c r="E26" s="259">
        <f t="shared" si="0"/>
        <v>8.3333333333333339E-4</v>
      </c>
      <c r="F26" s="252" t="s">
        <v>4</v>
      </c>
    </row>
    <row r="28" spans="1:6" x14ac:dyDescent="0.25">
      <c r="B28" s="256"/>
      <c r="C28" t="s">
        <v>349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Power Calculator</vt:lpstr>
      <vt:lpstr>S12CANPHY Electrical Specs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b54619</cp:lastModifiedBy>
  <dcterms:created xsi:type="dcterms:W3CDTF">2013-09-27T06:44:42Z</dcterms:created>
  <dcterms:modified xsi:type="dcterms:W3CDTF">2017-03-16T22:52:17Z</dcterms:modified>
</cp:coreProperties>
</file>