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efaultThemeVersion="124226"/>
  <mc:AlternateContent xmlns:mc="http://schemas.openxmlformats.org/markup-compatibility/2006">
    <mc:Choice Requires="x15">
      <x15ac:absPath xmlns:x15ac="http://schemas.microsoft.com/office/spreadsheetml/2010/11/ac" url="https://nxp1-my.sharepoint.com/personal/jan_spurek_nxp_com/Documents/Tasks/Tasks 2023/[mScale_RPA] DDR4 RPA update MSTR2/new/"/>
    </mc:Choice>
  </mc:AlternateContent>
  <xr:revisionPtr revIDLastSave="1" documentId="13_ncr:1_{92E1930C-2B3F-471A-86AB-4C2AB413F421}" xr6:coauthVersionLast="46" xr6:coauthVersionMax="47" xr10:uidLastSave="{1B6F0863-5115-418D-ACBC-8A48DD73E436}"/>
  <bookViews>
    <workbookView xWindow="-120" yWindow="-120" windowWidth="38640" windowHeight="21240" firstSheet="1" activeTab="2" xr2:uid="{00000000-000D-0000-FFFF-FFFF00000000}"/>
  </bookViews>
  <sheets>
    <sheet name="How To Use" sheetId="4" r:id="rId1"/>
    <sheet name="Revision History" sheetId="7" r:id="rId2"/>
    <sheet name="Register Configuration" sheetId="1" r:id="rId3"/>
    <sheet name="ECC_CONFIG" sheetId="11" r:id="rId4"/>
    <sheet name="DDR stress test file" sheetId="10" r:id="rId5"/>
  </sheets>
  <externalReferences>
    <externalReference r:id="rId6"/>
  </externalReferences>
  <definedNames>
    <definedName name="_xlnm._FilterDatabase" localSheetId="2" hidden="1">'Register Configuration'!#REF!</definedName>
    <definedName name="BusWidth">'Register Configuration'!$AC$4:$AC$5</definedName>
    <definedName name="DDRTypes">'Register Configuration'!$AA$4:$AA$6</definedName>
    <definedName name="Enable_2D_training">'[1]Register Configuration'!$AA$9:$AA$10</definedName>
    <definedName name="_xlnm.Print_Area" localSheetId="2">'Register Configuration'!$B$51:$F$402</definedName>
    <definedName name="RowBankInterleavingOption">'Register Configuration'!$AA$9:$AA$10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2" i="1" l="1"/>
  <c r="D649" i="1"/>
  <c r="D74" i="1"/>
  <c r="D73" i="1" s="1"/>
  <c r="D86" i="1"/>
  <c r="E86" i="1" s="1"/>
  <c r="D87" i="1"/>
  <c r="E87" i="1" s="1"/>
  <c r="D106" i="1"/>
  <c r="D78" i="1"/>
  <c r="D79" i="1"/>
  <c r="E460" i="1" l="1"/>
  <c r="E457" i="1"/>
  <c r="E458" i="1"/>
  <c r="E454" i="1"/>
  <c r="A277" i="10"/>
  <c r="A276" i="10"/>
  <c r="A275" i="10"/>
  <c r="A274" i="10"/>
  <c r="A273" i="10"/>
  <c r="A272" i="10"/>
  <c r="A271" i="10"/>
  <c r="A209" i="10"/>
  <c r="A162" i="10"/>
  <c r="A161" i="10"/>
  <c r="A160" i="10"/>
  <c r="A159" i="10"/>
  <c r="A158" i="10"/>
  <c r="A157" i="10"/>
  <c r="A156" i="10"/>
  <c r="A155" i="10"/>
  <c r="A154" i="10"/>
  <c r="A153" i="10"/>
  <c r="A152" i="10"/>
  <c r="A151" i="10"/>
  <c r="A150" i="10"/>
  <c r="A149" i="10"/>
  <c r="A148" i="10"/>
  <c r="A147" i="10"/>
  <c r="A146" i="10"/>
  <c r="A145" i="10"/>
  <c r="A144" i="10"/>
  <c r="A143" i="10"/>
  <c r="A142" i="10"/>
  <c r="A141" i="10"/>
  <c r="A140" i="10"/>
  <c r="A139" i="10"/>
  <c r="A138" i="10"/>
  <c r="D102" i="1" l="1"/>
  <c r="D70" i="1" l="1"/>
  <c r="E187" i="1" l="1"/>
  <c r="E185" i="1"/>
  <c r="D179" i="1"/>
  <c r="E179" i="1" s="1"/>
  <c r="D175" i="1"/>
  <c r="E175" i="1" s="1"/>
  <c r="E186" i="1"/>
  <c r="E184" i="1"/>
  <c r="E183" i="1"/>
  <c r="E182" i="1"/>
  <c r="E181" i="1"/>
  <c r="E178" i="1"/>
  <c r="E177" i="1"/>
  <c r="E176" i="1"/>
  <c r="E174" i="1"/>
  <c r="E172" i="1"/>
  <c r="B72" i="11"/>
  <c r="C72" i="11" s="1"/>
  <c r="B71" i="11"/>
  <c r="C71" i="11" s="1"/>
  <c r="B70" i="11"/>
  <c r="C70" i="11" s="1"/>
  <c r="B69" i="11"/>
  <c r="C69" i="11" s="1"/>
  <c r="B68" i="11"/>
  <c r="C68" i="11" s="1"/>
  <c r="B67" i="11"/>
  <c r="C67" i="11" s="1"/>
  <c r="B66" i="11"/>
  <c r="C66" i="11" s="1"/>
  <c r="B65" i="11"/>
  <c r="D170" i="1" s="1"/>
  <c r="E170" i="1" s="1"/>
  <c r="B63" i="11"/>
  <c r="D169" i="1" s="1"/>
  <c r="E169" i="1" s="1"/>
  <c r="B46" i="11"/>
  <c r="C46" i="11" s="1"/>
  <c r="A26" i="11"/>
  <c r="D22" i="11"/>
  <c r="A22" i="11"/>
  <c r="D21" i="11"/>
  <c r="A21" i="11"/>
  <c r="D20" i="11"/>
  <c r="A20" i="11"/>
  <c r="D19" i="11"/>
  <c r="A19" i="11"/>
  <c r="D18" i="11"/>
  <c r="A18" i="11"/>
  <c r="D17" i="11"/>
  <c r="A17" i="11"/>
  <c r="D16" i="11"/>
  <c r="A16" i="11"/>
  <c r="D15" i="11"/>
  <c r="A15" i="11"/>
  <c r="B33" i="11" l="1"/>
  <c r="I181" i="1"/>
  <c r="D68" i="10" s="1"/>
  <c r="B73" i="11"/>
  <c r="B74" i="11" s="1"/>
  <c r="D173" i="1" s="1"/>
  <c r="E173" i="1" s="1"/>
  <c r="C73" i="11" l="1"/>
  <c r="C74" i="11" l="1"/>
  <c r="A13" i="11"/>
  <c r="D25" i="10" l="1"/>
  <c r="B25" i="10"/>
  <c r="B24" i="10"/>
  <c r="B23" i="10"/>
  <c r="B22" i="10"/>
  <c r="B21" i="10"/>
  <c r="D45" i="10" l="1"/>
  <c r="D331" i="1" l="1"/>
  <c r="D616" i="1"/>
  <c r="D300" i="1"/>
  <c r="C200" i="1"/>
  <c r="D607" i="1"/>
  <c r="D604" i="1"/>
  <c r="D291" i="1"/>
  <c r="D288" i="1"/>
  <c r="D647" i="1"/>
  <c r="D334" i="1"/>
  <c r="C196" i="1" l="1"/>
  <c r="C212" i="1" l="1"/>
  <c r="A216" i="10"/>
  <c r="A215" i="10"/>
  <c r="A214" i="10"/>
  <c r="A213" i="10"/>
  <c r="A212" i="10"/>
  <c r="A211" i="10"/>
  <c r="A210" i="10"/>
  <c r="A208" i="10"/>
  <c r="A207" i="10"/>
  <c r="A206" i="10"/>
  <c r="A205" i="10"/>
  <c r="A204" i="10"/>
  <c r="D204" i="10"/>
  <c r="D211" i="10" s="1"/>
  <c r="C201" i="1"/>
  <c r="E654" i="1" l="1"/>
  <c r="D653" i="1"/>
  <c r="E653" i="1" s="1"/>
  <c r="H652" i="1"/>
  <c r="C28" i="1" l="1"/>
  <c r="D93" i="1" s="1"/>
  <c r="D92" i="1" l="1"/>
  <c r="D105" i="1"/>
  <c r="D84" i="1"/>
  <c r="D83" i="1" s="1"/>
  <c r="D76" i="1"/>
  <c r="D26" i="10"/>
  <c r="E25" i="10"/>
  <c r="E24" i="10"/>
  <c r="E23" i="10"/>
  <c r="E22" i="10"/>
  <c r="E21" i="10"/>
  <c r="D103" i="1" l="1"/>
  <c r="D90" i="1"/>
  <c r="D98" i="1"/>
  <c r="D99" i="1"/>
  <c r="D97" i="1"/>
  <c r="D100" i="1"/>
  <c r="D91" i="1"/>
  <c r="D82" i="1"/>
  <c r="D81" i="1" s="1"/>
  <c r="D551" i="1" l="1"/>
  <c r="D640" i="1"/>
  <c r="C229" i="1" l="1"/>
  <c r="C226" i="1"/>
  <c r="C138" i="1"/>
  <c r="A137" i="10" l="1"/>
  <c r="D196" i="10" l="1"/>
  <c r="D344" i="1" l="1"/>
  <c r="C676" i="1"/>
  <c r="C675" i="1"/>
  <c r="C674" i="1"/>
  <c r="C695" i="1" l="1"/>
  <c r="C698" i="1"/>
  <c r="D236" i="10" s="1"/>
  <c r="D295" i="10" l="1"/>
  <c r="D294" i="10"/>
  <c r="D292" i="10"/>
  <c r="D291" i="10"/>
  <c r="D290" i="10"/>
  <c r="D289" i="10"/>
  <c r="D287" i="10"/>
  <c r="D286" i="10" l="1"/>
  <c r="D49" i="1" l="1"/>
  <c r="C35" i="1" l="1"/>
  <c r="D636" i="1"/>
  <c r="E636" i="1" s="1"/>
  <c r="D534" i="1"/>
  <c r="D279" i="10"/>
  <c r="D284" i="10"/>
  <c r="D283" i="10"/>
  <c r="D282" i="10"/>
  <c r="D186" i="10"/>
  <c r="C691" i="1"/>
  <c r="D218" i="10" s="1"/>
  <c r="D650" i="1"/>
  <c r="E650" i="1" s="1"/>
  <c r="H647" i="1"/>
  <c r="E647" i="1"/>
  <c r="H625" i="1"/>
  <c r="D638" i="1"/>
  <c r="E638" i="1" s="1"/>
  <c r="D637" i="1"/>
  <c r="E637" i="1" s="1"/>
  <c r="D644" i="1"/>
  <c r="E644" i="1" s="1"/>
  <c r="D295" i="1"/>
  <c r="D611" i="1" s="1"/>
  <c r="E611" i="1" s="1"/>
  <c r="E649" i="1"/>
  <c r="E648" i="1"/>
  <c r="E643" i="1"/>
  <c r="E642" i="1"/>
  <c r="E641" i="1"/>
  <c r="E640" i="1"/>
  <c r="E639" i="1"/>
  <c r="E635" i="1"/>
  <c r="E634" i="1"/>
  <c r="E633" i="1"/>
  <c r="E632" i="1"/>
  <c r="E631" i="1"/>
  <c r="E630" i="1"/>
  <c r="E629" i="1"/>
  <c r="E628" i="1"/>
  <c r="E627" i="1"/>
  <c r="E625" i="1"/>
  <c r="H611" i="1"/>
  <c r="E616" i="1"/>
  <c r="H589" i="1"/>
  <c r="E622" i="1"/>
  <c r="E621" i="1"/>
  <c r="E620" i="1"/>
  <c r="E619" i="1"/>
  <c r="E618" i="1"/>
  <c r="E615" i="1"/>
  <c r="E613" i="1"/>
  <c r="E612" i="1"/>
  <c r="E608" i="1"/>
  <c r="E607" i="1"/>
  <c r="E606" i="1"/>
  <c r="E605" i="1"/>
  <c r="E604" i="1"/>
  <c r="E603" i="1"/>
  <c r="E602" i="1"/>
  <c r="E601" i="1"/>
  <c r="E600" i="1"/>
  <c r="E594" i="1"/>
  <c r="E593" i="1"/>
  <c r="D553" i="1"/>
  <c r="D552" i="1"/>
  <c r="C531" i="1"/>
  <c r="C519" i="1"/>
  <c r="C516" i="1"/>
  <c r="C505" i="1"/>
  <c r="C501" i="1"/>
  <c r="H583" i="1"/>
  <c r="H581" i="1"/>
  <c r="H578" i="1"/>
  <c r="H572" i="1"/>
  <c r="H565" i="1"/>
  <c r="D581" i="1"/>
  <c r="E581" i="1" s="1"/>
  <c r="I581" i="1" s="1"/>
  <c r="D160" i="10" s="1"/>
  <c r="E576" i="1"/>
  <c r="E575" i="1"/>
  <c r="E574" i="1"/>
  <c r="E573" i="1"/>
  <c r="E572" i="1"/>
  <c r="E569" i="1"/>
  <c r="E568" i="1"/>
  <c r="E566" i="1"/>
  <c r="E565" i="1"/>
  <c r="H558" i="1"/>
  <c r="C563" i="1"/>
  <c r="C562" i="1"/>
  <c r="D561" i="1"/>
  <c r="E561" i="1" s="1"/>
  <c r="D560" i="1"/>
  <c r="E560" i="1" s="1"/>
  <c r="D559" i="1"/>
  <c r="E559" i="1" s="1"/>
  <c r="D558" i="1"/>
  <c r="E558" i="1" s="1"/>
  <c r="H555" i="1"/>
  <c r="C555" i="1"/>
  <c r="D182" i="10"/>
  <c r="D180" i="10"/>
  <c r="C672" i="1" l="1"/>
  <c r="D277" i="10" s="1"/>
  <c r="C667" i="1"/>
  <c r="D272" i="10" s="1"/>
  <c r="C671" i="1"/>
  <c r="D276" i="10" s="1"/>
  <c r="I647" i="1"/>
  <c r="D143" i="10" s="1"/>
  <c r="I572" i="1"/>
  <c r="D158" i="10" s="1"/>
  <c r="H550" i="1" l="1"/>
  <c r="E553" i="1"/>
  <c r="E552" i="1"/>
  <c r="E551" i="1"/>
  <c r="E550" i="1"/>
  <c r="H491" i="1"/>
  <c r="H487" i="1"/>
  <c r="H477" i="1"/>
  <c r="H475" i="1"/>
  <c r="I550" i="1" l="1"/>
  <c r="D138" i="10" s="1"/>
  <c r="H547" i="1"/>
  <c r="H544" i="1"/>
  <c r="H539" i="1"/>
  <c r="H534" i="1"/>
  <c r="H529" i="1"/>
  <c r="E548" i="1"/>
  <c r="E547" i="1"/>
  <c r="D544" i="1"/>
  <c r="E544" i="1" s="1"/>
  <c r="C541" i="1"/>
  <c r="H526" i="1"/>
  <c r="D535" i="1"/>
  <c r="E535" i="1" s="1"/>
  <c r="E534" i="1"/>
  <c r="D531" i="1"/>
  <c r="E531" i="1" s="1"/>
  <c r="D513" i="1"/>
  <c r="D505" i="1"/>
  <c r="C500" i="1"/>
  <c r="C499" i="1"/>
  <c r="H521" i="1"/>
  <c r="H516" i="1"/>
  <c r="H512" i="1"/>
  <c r="H507" i="1"/>
  <c r="H503" i="1"/>
  <c r="H498" i="1"/>
  <c r="I547" i="1" l="1"/>
  <c r="D155" i="10" s="1"/>
  <c r="D508" i="1"/>
  <c r="E508" i="1" s="1"/>
  <c r="D595" i="1"/>
  <c r="D578" i="1"/>
  <c r="E578" i="1" s="1"/>
  <c r="D567" i="1"/>
  <c r="E567" i="1" s="1"/>
  <c r="D570" i="1"/>
  <c r="E570" i="1" s="1"/>
  <c r="D614" i="1"/>
  <c r="E614" i="1" s="1"/>
  <c r="C668" i="1" s="1"/>
  <c r="D273" i="10" s="1"/>
  <c r="D579" i="1"/>
  <c r="E579" i="1" s="1"/>
  <c r="D507" i="1"/>
  <c r="E507" i="1" s="1"/>
  <c r="I578" i="1" l="1"/>
  <c r="D159" i="10" s="1"/>
  <c r="E596" i="1"/>
  <c r="E595" i="1"/>
  <c r="E597" i="1"/>
  <c r="E599" i="1"/>
  <c r="E598" i="1"/>
  <c r="I565" i="1"/>
  <c r="D157" i="10" s="1"/>
  <c r="E55" i="1" l="1"/>
  <c r="D189" i="10" l="1"/>
  <c r="D540" i="1" l="1"/>
  <c r="E540" i="1" s="1"/>
  <c r="D516" i="1"/>
  <c r="C545" i="1"/>
  <c r="D545" i="1" s="1"/>
  <c r="E545" i="1" s="1"/>
  <c r="I544" i="1" s="1"/>
  <c r="D154" i="10" s="1"/>
  <c r="C523" i="1"/>
  <c r="D523" i="1" s="1"/>
  <c r="C518" i="1"/>
  <c r="D518" i="1" s="1"/>
  <c r="D512" i="1"/>
  <c r="C503" i="1"/>
  <c r="D503" i="1" s="1"/>
  <c r="C498" i="1"/>
  <c r="C542" i="1"/>
  <c r="D542" i="1" s="1"/>
  <c r="E542" i="1" s="1"/>
  <c r="C537" i="1"/>
  <c r="C522" i="1"/>
  <c r="D522" i="1" s="1"/>
  <c r="D526" i="1" s="1"/>
  <c r="E526" i="1" s="1"/>
  <c r="D519" i="1"/>
  <c r="D501" i="1"/>
  <c r="D541" i="1"/>
  <c r="E541" i="1" s="1"/>
  <c r="C536" i="1"/>
  <c r="D536" i="1" s="1"/>
  <c r="E536" i="1" s="1"/>
  <c r="C524" i="1"/>
  <c r="D524" i="1" s="1"/>
  <c r="C521" i="1"/>
  <c r="D521" i="1" s="1"/>
  <c r="D527" i="1" s="1"/>
  <c r="E527" i="1" s="1"/>
  <c r="C517" i="1"/>
  <c r="D517" i="1" s="1"/>
  <c r="E517" i="1" s="1"/>
  <c r="C514" i="1"/>
  <c r="C510" i="1"/>
  <c r="C504" i="1"/>
  <c r="D504" i="1" s="1"/>
  <c r="D500" i="1"/>
  <c r="D499" i="1"/>
  <c r="I526" i="1" l="1"/>
  <c r="D150" i="10" s="1"/>
  <c r="D590" i="1"/>
  <c r="E590" i="1" s="1"/>
  <c r="D589" i="1"/>
  <c r="E589" i="1" s="1"/>
  <c r="D592" i="1"/>
  <c r="E592" i="1" s="1"/>
  <c r="D591" i="1"/>
  <c r="E591" i="1" s="1"/>
  <c r="D514" i="1"/>
  <c r="E514" i="1" s="1"/>
  <c r="C693" i="1"/>
  <c r="D184" i="10" s="1"/>
  <c r="C666" i="1" l="1"/>
  <c r="D271" i="10" s="1"/>
  <c r="I589" i="1"/>
  <c r="D140" i="10" s="1"/>
  <c r="D259" i="1"/>
  <c r="D258" i="1"/>
  <c r="H460" i="1"/>
  <c r="H454" i="1"/>
  <c r="E461" i="1"/>
  <c r="E456" i="1"/>
  <c r="E455" i="1"/>
  <c r="H451" i="1"/>
  <c r="E452" i="1"/>
  <c r="E451" i="1"/>
  <c r="H445" i="1"/>
  <c r="E449" i="1"/>
  <c r="E448" i="1"/>
  <c r="E447" i="1"/>
  <c r="E446" i="1"/>
  <c r="E445" i="1"/>
  <c r="H440" i="1"/>
  <c r="E443" i="1"/>
  <c r="E442" i="1"/>
  <c r="E441" i="1"/>
  <c r="E440" i="1"/>
  <c r="E438" i="1"/>
  <c r="E433" i="1"/>
  <c r="E434" i="1"/>
  <c r="E435" i="1"/>
  <c r="E436" i="1"/>
  <c r="E437" i="1"/>
  <c r="H433" i="1"/>
  <c r="H429" i="1"/>
  <c r="E431" i="1"/>
  <c r="E430" i="1"/>
  <c r="E429" i="1"/>
  <c r="E422" i="1"/>
  <c r="E423" i="1"/>
  <c r="E424" i="1"/>
  <c r="E425" i="1"/>
  <c r="E426" i="1"/>
  <c r="E427" i="1"/>
  <c r="H422" i="1"/>
  <c r="H418" i="1"/>
  <c r="E419" i="1"/>
  <c r="E418" i="1"/>
  <c r="H412" i="1"/>
  <c r="E413" i="1"/>
  <c r="E412" i="1"/>
  <c r="H415" i="1"/>
  <c r="E416" i="1"/>
  <c r="E415" i="1"/>
  <c r="H410" i="1"/>
  <c r="E410" i="1"/>
  <c r="I410" i="1" s="1"/>
  <c r="D124" i="10" s="1"/>
  <c r="A1" i="10"/>
  <c r="H403" i="1"/>
  <c r="E408" i="1"/>
  <c r="E407" i="1"/>
  <c r="E406" i="1"/>
  <c r="E405" i="1"/>
  <c r="E404" i="1"/>
  <c r="E403" i="1"/>
  <c r="I460" i="1" l="1"/>
  <c r="D135" i="10" s="1"/>
  <c r="I454" i="1"/>
  <c r="D134" i="10" s="1"/>
  <c r="D584" i="1"/>
  <c r="E584" i="1" s="1"/>
  <c r="D585" i="1"/>
  <c r="E585" i="1" s="1"/>
  <c r="I451" i="1"/>
  <c r="D133" i="10" s="1"/>
  <c r="I445" i="1"/>
  <c r="D132" i="10" s="1"/>
  <c r="I440" i="1"/>
  <c r="D131" i="10" s="1"/>
  <c r="I433" i="1"/>
  <c r="D130" i="10" s="1"/>
  <c r="I429" i="1"/>
  <c r="D129" i="10" s="1"/>
  <c r="I422" i="1"/>
  <c r="D128" i="10" s="1"/>
  <c r="I418" i="1"/>
  <c r="D127" i="10" s="1"/>
  <c r="I415" i="1"/>
  <c r="D126" i="10" s="1"/>
  <c r="I412" i="1"/>
  <c r="D125" i="10" s="1"/>
  <c r="I403" i="1"/>
  <c r="D123" i="10" s="1"/>
  <c r="H257" i="1" l="1"/>
  <c r="E259" i="1"/>
  <c r="E258" i="1"/>
  <c r="E95" i="1" l="1"/>
  <c r="D88" i="1"/>
  <c r="E399" i="1" l="1"/>
  <c r="I399" i="1" s="1"/>
  <c r="D107" i="10" s="1"/>
  <c r="H399" i="1"/>
  <c r="H376" i="1"/>
  <c r="E377" i="1"/>
  <c r="E376" i="1"/>
  <c r="E374" i="1"/>
  <c r="E373" i="1"/>
  <c r="E372" i="1"/>
  <c r="E371" i="1"/>
  <c r="E370" i="1"/>
  <c r="E369" i="1"/>
  <c r="E368" i="1"/>
  <c r="H368" i="1"/>
  <c r="H366" i="1"/>
  <c r="D366" i="1"/>
  <c r="E366" i="1" s="1"/>
  <c r="I366" i="1" s="1"/>
  <c r="D105" i="10" s="1"/>
  <c r="I376" i="1" l="1"/>
  <c r="D99" i="10" s="1"/>
  <c r="I368" i="1"/>
  <c r="D98" i="10" s="1"/>
  <c r="D166" i="1"/>
  <c r="D323" i="1"/>
  <c r="D324" i="1"/>
  <c r="D325" i="1"/>
  <c r="E386" i="1"/>
  <c r="H244" i="1" l="1"/>
  <c r="E244" i="1"/>
  <c r="E245" i="1"/>
  <c r="C238" i="1"/>
  <c r="D313" i="1"/>
  <c r="C696" i="1" s="1"/>
  <c r="D301" i="1"/>
  <c r="D228" i="1"/>
  <c r="C532" i="1" l="1"/>
  <c r="D532" i="1" s="1"/>
  <c r="E532" i="1" s="1"/>
  <c r="D617" i="1"/>
  <c r="E617" i="1" s="1"/>
  <c r="C669" i="1" s="1"/>
  <c r="D274" i="10" s="1"/>
  <c r="D626" i="1"/>
  <c r="D280" i="10"/>
  <c r="C529" i="1"/>
  <c r="D529" i="1" s="1"/>
  <c r="C509" i="1"/>
  <c r="D586" i="1"/>
  <c r="E586" i="1" s="1"/>
  <c r="D165" i="1"/>
  <c r="D257" i="1"/>
  <c r="I244" i="1"/>
  <c r="D91" i="10" s="1"/>
  <c r="C191" i="1"/>
  <c r="D279" i="1"/>
  <c r="C202" i="1"/>
  <c r="E626" i="1" l="1"/>
  <c r="I625" i="1" s="1"/>
  <c r="D142" i="10" s="1"/>
  <c r="D652" i="1"/>
  <c r="E652" i="1" s="1"/>
  <c r="I652" i="1" s="1"/>
  <c r="D162" i="10" s="1"/>
  <c r="E529" i="1"/>
  <c r="D530" i="1"/>
  <c r="E530" i="1" s="1"/>
  <c r="D539" i="1"/>
  <c r="E539" i="1" s="1"/>
  <c r="I539" i="1" s="1"/>
  <c r="D153" i="10" s="1"/>
  <c r="I611" i="1"/>
  <c r="D141" i="10" s="1"/>
  <c r="E257" i="1"/>
  <c r="D583" i="1"/>
  <c r="E583" i="1" s="1"/>
  <c r="I583" i="1" s="1"/>
  <c r="D161" i="10" s="1"/>
  <c r="D355" i="1"/>
  <c r="D298" i="1"/>
  <c r="E281" i="1"/>
  <c r="E280" i="1"/>
  <c r="E283" i="1"/>
  <c r="E279" i="1"/>
  <c r="E282" i="1"/>
  <c r="D364" i="1"/>
  <c r="D260" i="1"/>
  <c r="E260" i="1" s="1"/>
  <c r="E344" i="1"/>
  <c r="E343" i="1"/>
  <c r="E342" i="1"/>
  <c r="E341" i="1"/>
  <c r="E340" i="1"/>
  <c r="E339" i="1"/>
  <c r="E345" i="1"/>
  <c r="C670" i="1" l="1"/>
  <c r="D275" i="10" s="1"/>
  <c r="I529" i="1"/>
  <c r="D151" i="10" s="1"/>
  <c r="I257" i="1"/>
  <c r="D119" i="10" s="1"/>
  <c r="I339" i="1"/>
  <c r="D77" i="10" s="1"/>
  <c r="H339" i="1" l="1"/>
  <c r="E337" i="1"/>
  <c r="E336" i="1"/>
  <c r="E335" i="1"/>
  <c r="E334" i="1"/>
  <c r="E330" i="1"/>
  <c r="E329" i="1"/>
  <c r="E328" i="1"/>
  <c r="E327" i="1"/>
  <c r="E326" i="1"/>
  <c r="E325" i="1"/>
  <c r="E324" i="1"/>
  <c r="E323" i="1"/>
  <c r="E331" i="1"/>
  <c r="E320" i="1"/>
  <c r="E319" i="1"/>
  <c r="E318" i="1"/>
  <c r="E317" i="1"/>
  <c r="E316" i="1"/>
  <c r="E315" i="1"/>
  <c r="E314" i="1"/>
  <c r="E313" i="1"/>
  <c r="E312" i="1"/>
  <c r="E321" i="1"/>
  <c r="E322" i="1"/>
  <c r="H309" i="1"/>
  <c r="D309" i="1"/>
  <c r="E309" i="1" s="1"/>
  <c r="I309" i="1" s="1"/>
  <c r="D74" i="10" s="1"/>
  <c r="E306" i="1"/>
  <c r="E305" i="1"/>
  <c r="E304" i="1"/>
  <c r="E303" i="1"/>
  <c r="E302" i="1"/>
  <c r="E301" i="1"/>
  <c r="E300" i="1"/>
  <c r="E299" i="1"/>
  <c r="E298" i="1"/>
  <c r="E297" i="1"/>
  <c r="E296" i="1"/>
  <c r="E295" i="1"/>
  <c r="C33" i="1"/>
  <c r="C660" i="1" l="1"/>
  <c r="D265" i="10" s="1"/>
  <c r="C662" i="1"/>
  <c r="D267" i="10" s="1"/>
  <c r="C661" i="1"/>
  <c r="D266" i="10" s="1"/>
  <c r="C663" i="1"/>
  <c r="D268" i="10" s="1"/>
  <c r="C664" i="1"/>
  <c r="D269" i="10" s="1"/>
  <c r="D255" i="1"/>
  <c r="C189" i="1"/>
  <c r="I312" i="1"/>
  <c r="D75" i="10" s="1"/>
  <c r="D237" i="1"/>
  <c r="C242" i="1"/>
  <c r="C239" i="1"/>
  <c r="D239" i="1" s="1"/>
  <c r="D238" i="1"/>
  <c r="D229" i="1"/>
  <c r="D236" i="1"/>
  <c r="C234" i="1"/>
  <c r="C217" i="1"/>
  <c r="D217" i="1" s="1"/>
  <c r="C210" i="1"/>
  <c r="C214" i="1"/>
  <c r="C211" i="1"/>
  <c r="D211" i="1" s="1"/>
  <c r="C233" i="1"/>
  <c r="D233" i="1" s="1"/>
  <c r="C216" i="1"/>
  <c r="D216" i="1" s="1"/>
  <c r="C215" i="1"/>
  <c r="D215" i="1" s="1"/>
  <c r="D212" i="1"/>
  <c r="D206" i="1"/>
  <c r="D209" i="1"/>
  <c r="D192" i="1"/>
  <c r="D226" i="1"/>
  <c r="C207" i="1"/>
  <c r="I334" i="1"/>
  <c r="D76" i="10" s="1"/>
  <c r="D160" i="1"/>
  <c r="C203" i="1"/>
  <c r="C195" i="1"/>
  <c r="D195" i="1" s="1"/>
  <c r="C194" i="1"/>
  <c r="D194" i="1" s="1"/>
  <c r="I295" i="1"/>
  <c r="D73" i="10" s="1"/>
  <c r="D162" i="1"/>
  <c r="D214" i="1" l="1"/>
  <c r="D210" i="1"/>
  <c r="E524" i="1"/>
  <c r="E522" i="1"/>
  <c r="E503" i="1"/>
  <c r="E523" i="1"/>
  <c r="E519" i="1"/>
  <c r="E521" i="1"/>
  <c r="E516" i="1"/>
  <c r="E513" i="1"/>
  <c r="E512" i="1"/>
  <c r="E518" i="1"/>
  <c r="E501" i="1"/>
  <c r="E504" i="1"/>
  <c r="E500" i="1"/>
  <c r="E499" i="1"/>
  <c r="D276" i="1"/>
  <c r="D275" i="1"/>
  <c r="D274" i="1"/>
  <c r="D273" i="1"/>
  <c r="E130" i="1"/>
  <c r="E129" i="1"/>
  <c r="H129" i="1"/>
  <c r="E494" i="1"/>
  <c r="E493" i="1"/>
  <c r="E492" i="1"/>
  <c r="E491" i="1"/>
  <c r="H64" i="1"/>
  <c r="E65" i="1"/>
  <c r="E66" i="1"/>
  <c r="E64" i="1"/>
  <c r="E489" i="1"/>
  <c r="E488" i="1"/>
  <c r="E487" i="1"/>
  <c r="E485" i="1"/>
  <c r="E484" i="1"/>
  <c r="E483" i="1"/>
  <c r="E482" i="1"/>
  <c r="E481" i="1"/>
  <c r="E480" i="1"/>
  <c r="E479" i="1"/>
  <c r="E478" i="1"/>
  <c r="E477" i="1"/>
  <c r="E475" i="1"/>
  <c r="I475" i="1" s="1"/>
  <c r="H473" i="1"/>
  <c r="E473" i="1"/>
  <c r="I473" i="1" s="1"/>
  <c r="H463" i="1"/>
  <c r="E471" i="1"/>
  <c r="E470" i="1"/>
  <c r="E469" i="1"/>
  <c r="E468" i="1"/>
  <c r="E467" i="1"/>
  <c r="E466" i="1"/>
  <c r="E465" i="1"/>
  <c r="E464" i="1"/>
  <c r="E463" i="1"/>
  <c r="E505" i="1" l="1"/>
  <c r="I503" i="1" s="1"/>
  <c r="D145" i="10" s="1"/>
  <c r="I516" i="1"/>
  <c r="D148" i="10" s="1"/>
  <c r="I521" i="1"/>
  <c r="D149" i="10" s="1"/>
  <c r="I512" i="1"/>
  <c r="D147" i="10" s="1"/>
  <c r="I129" i="1"/>
  <c r="D61" i="10" s="1"/>
  <c r="I491" i="1"/>
  <c r="I64" i="1"/>
  <c r="I487" i="1"/>
  <c r="D59" i="10" s="1"/>
  <c r="I477" i="1"/>
  <c r="I463" i="1"/>
  <c r="D58" i="10" l="1"/>
  <c r="D170" i="10"/>
  <c r="E286" i="1"/>
  <c r="E287" i="1"/>
  <c r="E288" i="1"/>
  <c r="E290" i="1"/>
  <c r="E291" i="1"/>
  <c r="D252" i="1" l="1"/>
  <c r="D251" i="1"/>
  <c r="D562" i="1" l="1"/>
  <c r="E562" i="1" s="1"/>
  <c r="D563" i="1"/>
  <c r="E563" i="1" s="1"/>
  <c r="D242" i="1"/>
  <c r="E228" i="1"/>
  <c r="H236" i="1"/>
  <c r="E236" i="1"/>
  <c r="E237" i="1"/>
  <c r="E238" i="1"/>
  <c r="E239" i="1"/>
  <c r="E233" i="1"/>
  <c r="D207" i="1"/>
  <c r="D196" i="1"/>
  <c r="C190" i="1"/>
  <c r="C22" i="1"/>
  <c r="D232" i="1"/>
  <c r="E232" i="1" s="1"/>
  <c r="E231" i="1"/>
  <c r="H231" i="1"/>
  <c r="H226" i="1"/>
  <c r="D224" i="1"/>
  <c r="E285" i="1"/>
  <c r="E284" i="1"/>
  <c r="E278" i="1"/>
  <c r="E277" i="1"/>
  <c r="E276" i="1"/>
  <c r="E275" i="1"/>
  <c r="E274" i="1"/>
  <c r="E273" i="1"/>
  <c r="I558" i="1" l="1"/>
  <c r="D156" i="10" s="1"/>
  <c r="C556" i="1"/>
  <c r="C658" i="1"/>
  <c r="D263" i="10" s="1"/>
  <c r="E229" i="1"/>
  <c r="E226" i="1"/>
  <c r="D227" i="1"/>
  <c r="E227" i="1" s="1"/>
  <c r="I236" i="1"/>
  <c r="D89" i="10" s="1"/>
  <c r="I226" i="1" l="1"/>
  <c r="D87" i="10" s="1"/>
  <c r="E148" i="1"/>
  <c r="E149" i="1"/>
  <c r="E150" i="1"/>
  <c r="E151" i="1"/>
  <c r="E152" i="1"/>
  <c r="E153" i="1"/>
  <c r="E154" i="1"/>
  <c r="E155" i="1"/>
  <c r="E156" i="1"/>
  <c r="H148" i="1"/>
  <c r="H140" i="1"/>
  <c r="E140" i="1"/>
  <c r="E141" i="1"/>
  <c r="E142" i="1"/>
  <c r="E143" i="1"/>
  <c r="E144" i="1"/>
  <c r="E145" i="1"/>
  <c r="E146" i="1"/>
  <c r="E135" i="1"/>
  <c r="E134" i="1"/>
  <c r="E133" i="1"/>
  <c r="E132" i="1"/>
  <c r="H132" i="1"/>
  <c r="J132" i="1" l="1"/>
  <c r="I132" i="1"/>
  <c r="D62" i="10" s="1"/>
  <c r="I140" i="1"/>
  <c r="D64" i="10" s="1"/>
  <c r="I148" i="1"/>
  <c r="D65" i="10" s="1"/>
  <c r="H118" i="1" l="1"/>
  <c r="E118" i="1"/>
  <c r="E120" i="1"/>
  <c r="E119" i="1"/>
  <c r="H113" i="1"/>
  <c r="E116" i="1"/>
  <c r="E115" i="1"/>
  <c r="E114" i="1"/>
  <c r="E113" i="1"/>
  <c r="H108" i="1"/>
  <c r="E110" i="1"/>
  <c r="E109" i="1"/>
  <c r="E108" i="1"/>
  <c r="E105" i="1"/>
  <c r="H105" i="1"/>
  <c r="E106" i="1"/>
  <c r="C29" i="1"/>
  <c r="I105" i="1" l="1"/>
  <c r="D117" i="10" s="1"/>
  <c r="I118" i="1"/>
  <c r="I113" i="1"/>
  <c r="E111" i="1"/>
  <c r="I108" i="1" s="1"/>
  <c r="E102" i="1" l="1"/>
  <c r="E103" i="1"/>
  <c r="H102" i="1"/>
  <c r="E79" i="1"/>
  <c r="E78" i="1"/>
  <c r="E77" i="1"/>
  <c r="H76" i="1"/>
  <c r="E76" i="1"/>
  <c r="D72" i="1"/>
  <c r="C24" i="1"/>
  <c r="B40" i="11" s="1"/>
  <c r="C40" i="11" l="1"/>
  <c r="B52" i="11"/>
  <c r="D40" i="11"/>
  <c r="B42" i="11"/>
  <c r="B43" i="11" s="1"/>
  <c r="B49" i="11"/>
  <c r="C49" i="11" s="1"/>
  <c r="C23" i="11" s="1"/>
  <c r="C34" i="11"/>
  <c r="B41" i="11"/>
  <c r="I102" i="1"/>
  <c r="D116" i="10" s="1"/>
  <c r="I76" i="1"/>
  <c r="D111" i="10" s="1"/>
  <c r="B50" i="11" l="1"/>
  <c r="C43" i="11"/>
  <c r="C26" i="11" s="1"/>
  <c r="D43" i="11"/>
  <c r="B26" i="11"/>
  <c r="C41" i="11"/>
  <c r="D41" i="11"/>
  <c r="D42" i="11"/>
  <c r="B29" i="11"/>
  <c r="B27" i="11"/>
  <c r="B31" i="11"/>
  <c r="C42" i="11"/>
  <c r="B32" i="11"/>
  <c r="B30" i="11"/>
  <c r="B28" i="11"/>
  <c r="B51" i="11"/>
  <c r="C51" i="11" s="1"/>
  <c r="B23" i="11"/>
  <c r="B53" i="11"/>
  <c r="H334" i="1"/>
  <c r="E379" i="1"/>
  <c r="D220" i="1"/>
  <c r="D219" i="1"/>
  <c r="D352" i="1"/>
  <c r="H312" i="1"/>
  <c r="B54" i="11" l="1"/>
  <c r="B21" i="11" s="1"/>
  <c r="B22" i="11"/>
  <c r="C17" i="11"/>
  <c r="C16" i="11"/>
  <c r="C15" i="11"/>
  <c r="C21" i="11"/>
  <c r="C18" i="11"/>
  <c r="C20" i="11"/>
  <c r="C19" i="11"/>
  <c r="C33" i="11"/>
  <c r="C31" i="11"/>
  <c r="C27" i="11"/>
  <c r="C29" i="11"/>
  <c r="C32" i="11"/>
  <c r="C30" i="11"/>
  <c r="C28" i="11"/>
  <c r="C50" i="11"/>
  <c r="C22" i="11" s="1"/>
  <c r="D363" i="1"/>
  <c r="B55" i="11" l="1"/>
  <c r="B56" i="11"/>
  <c r="B20" i="11"/>
  <c r="E84" i="1"/>
  <c r="E83" i="1"/>
  <c r="E82" i="1"/>
  <c r="H81" i="1"/>
  <c r="E81" i="1"/>
  <c r="E96" i="1"/>
  <c r="D51" i="1"/>
  <c r="B57" i="11" l="1"/>
  <c r="B19" i="11"/>
  <c r="I81" i="1"/>
  <c r="D112" i="10" s="1"/>
  <c r="B58" i="11" l="1"/>
  <c r="B18" i="11"/>
  <c r="H395" i="1"/>
  <c r="E397" i="1"/>
  <c r="E396" i="1"/>
  <c r="E395" i="1"/>
  <c r="B59" i="11" l="1"/>
  <c r="B17" i="11"/>
  <c r="I395" i="1"/>
  <c r="D106" i="10" s="1"/>
  <c r="B60" i="11" l="1"/>
  <c r="B15" i="11" s="1"/>
  <c r="B16" i="11"/>
  <c r="E207" i="1"/>
  <c r="E127" i="1" l="1"/>
  <c r="E126" i="1"/>
  <c r="E125" i="1"/>
  <c r="E124" i="1"/>
  <c r="H124" i="1"/>
  <c r="I124" i="1" l="1"/>
  <c r="D60" i="10" s="1"/>
  <c r="E382" i="1" l="1"/>
  <c r="E381" i="1"/>
  <c r="E380" i="1"/>
  <c r="H379" i="1"/>
  <c r="H363" i="1"/>
  <c r="E364" i="1"/>
  <c r="I379" i="1" l="1"/>
  <c r="D103" i="10" s="1"/>
  <c r="E250" i="1" l="1"/>
  <c r="D241" i="1"/>
  <c r="E241" i="1" s="1"/>
  <c r="H241" i="1"/>
  <c r="E242" i="1"/>
  <c r="E292" i="1"/>
  <c r="E289" i="1"/>
  <c r="D52" i="1"/>
  <c r="D59" i="1"/>
  <c r="D58" i="1"/>
  <c r="E58" i="1" s="1"/>
  <c r="E50" i="1"/>
  <c r="E49" i="1"/>
  <c r="C659" i="1" l="1"/>
  <c r="D264" i="10" s="1"/>
  <c r="D203" i="1"/>
  <c r="D537" i="1"/>
  <c r="E537" i="1" s="1"/>
  <c r="I534" i="1" s="1"/>
  <c r="D152" i="10" s="1"/>
  <c r="D510" i="1"/>
  <c r="E510" i="1" s="1"/>
  <c r="D498" i="1"/>
  <c r="E498" i="1" s="1"/>
  <c r="I498" i="1" s="1"/>
  <c r="D144" i="10" s="1"/>
  <c r="D509" i="1"/>
  <c r="E509" i="1" s="1"/>
  <c r="I241" i="1"/>
  <c r="D234" i="1"/>
  <c r="E234" i="1" s="1"/>
  <c r="I231" i="1" s="1"/>
  <c r="D88" i="10" s="1"/>
  <c r="D189" i="1"/>
  <c r="I273" i="1"/>
  <c r="D72" i="10" s="1"/>
  <c r="E59" i="1"/>
  <c r="I507" i="1" l="1"/>
  <c r="D146" i="10" s="1"/>
  <c r="D54" i="1"/>
  <c r="D171" i="1" s="1"/>
  <c r="E171" i="1" s="1"/>
  <c r="I169" i="1" s="1"/>
  <c r="D67" i="10" s="1"/>
  <c r="D200" i="1" l="1"/>
  <c r="D201" i="1"/>
  <c r="H49" i="1" l="1"/>
  <c r="E98" i="1" l="1"/>
  <c r="E90" i="1"/>
  <c r="E100" i="1"/>
  <c r="E72" i="1"/>
  <c r="E92" i="1"/>
  <c r="E99" i="1"/>
  <c r="E200" i="1"/>
  <c r="H254" i="1"/>
  <c r="E88" i="1"/>
  <c r="I86" i="1" s="1"/>
  <c r="H86" i="1"/>
  <c r="E224" i="1"/>
  <c r="E220" i="1"/>
  <c r="E219" i="1"/>
  <c r="H219" i="1"/>
  <c r="H223" i="1"/>
  <c r="H165" i="1"/>
  <c r="H264" i="1"/>
  <c r="H95" i="1"/>
  <c r="H90" i="1"/>
  <c r="H72" i="1"/>
  <c r="H69" i="1"/>
  <c r="H393" i="1"/>
  <c r="H390" i="1"/>
  <c r="H384" i="1"/>
  <c r="H357" i="1"/>
  <c r="H350" i="1"/>
  <c r="H247" i="1"/>
  <c r="H214" i="1"/>
  <c r="H209" i="1"/>
  <c r="H205" i="1"/>
  <c r="H200" i="1"/>
  <c r="H194" i="1"/>
  <c r="H189" i="1"/>
  <c r="E165" i="1"/>
  <c r="E167" i="1"/>
  <c r="E166" i="1"/>
  <c r="H295" i="1"/>
  <c r="H273" i="1"/>
  <c r="E158" i="1"/>
  <c r="H158" i="1"/>
  <c r="H162" i="1"/>
  <c r="E163" i="1"/>
  <c r="H137" i="1"/>
  <c r="D62" i="1"/>
  <c r="E62" i="1" s="1"/>
  <c r="D61" i="1"/>
  <c r="E61" i="1" s="1"/>
  <c r="D60" i="1"/>
  <c r="E60" i="1" s="1"/>
  <c r="E57" i="1"/>
  <c r="E56" i="1"/>
  <c r="E54" i="1"/>
  <c r="E53" i="1"/>
  <c r="E52" i="1"/>
  <c r="E51" i="1"/>
  <c r="D190" i="1"/>
  <c r="E264" i="1"/>
  <c r="E97" i="1"/>
  <c r="E70" i="1"/>
  <c r="E385" i="1"/>
  <c r="E354" i="1"/>
  <c r="E249" i="1"/>
  <c r="E266" i="1"/>
  <c r="E73" i="1"/>
  <c r="E388" i="1"/>
  <c r="E357" i="1"/>
  <c r="E69" i="1"/>
  <c r="E384" i="1"/>
  <c r="E353" i="1"/>
  <c r="E248" i="1"/>
  <c r="E91" i="1"/>
  <c r="E360" i="1"/>
  <c r="E393" i="1"/>
  <c r="I393" i="1" s="1"/>
  <c r="D102" i="10" s="1"/>
  <c r="E350" i="1"/>
  <c r="E391" i="1"/>
  <c r="E355" i="1"/>
  <c r="E361" i="1"/>
  <c r="E247" i="1"/>
  <c r="E351" i="1"/>
  <c r="E390" i="1"/>
  <c r="E359" i="1"/>
  <c r="E267" i="1"/>
  <c r="E74" i="1"/>
  <c r="E358" i="1"/>
  <c r="E265" i="1"/>
  <c r="E387" i="1"/>
  <c r="E93" i="1"/>
  <c r="E210" i="1"/>
  <c r="E201" i="1"/>
  <c r="I49" i="1" l="1"/>
  <c r="D57" i="10" s="1"/>
  <c r="I384" i="1"/>
  <c r="D100" i="10" s="1"/>
  <c r="E203" i="1"/>
  <c r="E162" i="1"/>
  <c r="D137" i="1"/>
  <c r="D159" i="1"/>
  <c r="E159" i="1" s="1"/>
  <c r="E202" i="1"/>
  <c r="E217" i="1"/>
  <c r="E255" i="1"/>
  <c r="E216" i="1"/>
  <c r="E190" i="1"/>
  <c r="E206" i="1"/>
  <c r="D205" i="1"/>
  <c r="E205" i="1" s="1"/>
  <c r="E196" i="1"/>
  <c r="D191" i="1"/>
  <c r="E191" i="1" s="1"/>
  <c r="E189" i="1"/>
  <c r="E194" i="1"/>
  <c r="E252" i="1"/>
  <c r="E251" i="1"/>
  <c r="D254" i="1"/>
  <c r="E254" i="1" s="1"/>
  <c r="E211" i="1"/>
  <c r="E221" i="1"/>
  <c r="E195" i="1"/>
  <c r="E209" i="1"/>
  <c r="D138" i="1"/>
  <c r="E160" i="1"/>
  <c r="D113" i="10"/>
  <c r="I264" i="1"/>
  <c r="D120" i="10" s="1"/>
  <c r="I357" i="1"/>
  <c r="D97" i="10" s="1"/>
  <c r="I390" i="1"/>
  <c r="D101" i="10" s="1"/>
  <c r="I165" i="1"/>
  <c r="D78" i="10" s="1"/>
  <c r="E214" i="1"/>
  <c r="I90" i="1"/>
  <c r="D114" i="10" s="1"/>
  <c r="I69" i="1"/>
  <c r="D109" i="10" s="1"/>
  <c r="I72" i="1"/>
  <c r="D110" i="10" s="1"/>
  <c r="I95" i="1"/>
  <c r="D115" i="10" s="1"/>
  <c r="E137" i="1" l="1"/>
  <c r="D555" i="1"/>
  <c r="E555" i="1" s="1"/>
  <c r="E138" i="1"/>
  <c r="D556" i="1"/>
  <c r="E556" i="1" s="1"/>
  <c r="I247" i="1"/>
  <c r="D93" i="10" s="1"/>
  <c r="D90" i="10"/>
  <c r="I219" i="1"/>
  <c r="I254" i="1"/>
  <c r="D94" i="10" s="1"/>
  <c r="I162" i="1"/>
  <c r="D71" i="10" s="1"/>
  <c r="I200" i="1"/>
  <c r="D82" i="10" s="1"/>
  <c r="E212" i="1"/>
  <c r="E192" i="1"/>
  <c r="I194" i="1"/>
  <c r="D81" i="10" s="1"/>
  <c r="I205" i="1"/>
  <c r="D83" i="10" s="1"/>
  <c r="I158" i="1"/>
  <c r="D70" i="10" s="1"/>
  <c r="I137" i="1" l="1"/>
  <c r="D63" i="10" s="1"/>
  <c r="I555" i="1"/>
  <c r="D139" i="10" s="1"/>
  <c r="E363" i="1"/>
  <c r="I363" i="1" s="1"/>
  <c r="D104" i="10" s="1"/>
  <c r="E352" i="1"/>
  <c r="I350" i="1" s="1"/>
  <c r="D96" i="10" s="1"/>
  <c r="I209" i="1"/>
  <c r="D84" i="10" s="1"/>
  <c r="I189" i="1"/>
  <c r="D80" i="10" s="1"/>
  <c r="D223" i="1"/>
  <c r="E223" i="1" s="1"/>
  <c r="I223" i="1" s="1"/>
  <c r="D86" i="10" s="1"/>
  <c r="E215" i="1" l="1"/>
  <c r="I214" i="1" s="1"/>
  <c r="D85" i="10" s="1"/>
</calcChain>
</file>

<file path=xl/sharedStrings.xml><?xml version="1.0" encoding="utf-8"?>
<sst xmlns="http://schemas.openxmlformats.org/spreadsheetml/2006/main" count="2395" uniqueCount="1413">
  <si>
    <t>-</t>
  </si>
  <si>
    <t>Notes</t>
  </si>
  <si>
    <t>value from DDR data sheet (ns)</t>
  </si>
  <si>
    <t>Register name</t>
  </si>
  <si>
    <t>Register value (HEX)</t>
  </si>
  <si>
    <t>N/A</t>
  </si>
  <si>
    <t>bit setting within register</t>
  </si>
  <si>
    <t>control bit setting (decimal)</t>
  </si>
  <si>
    <t>Memory type:</t>
  </si>
  <si>
    <t>Memory part number:</t>
  </si>
  <si>
    <t>Device Information</t>
  </si>
  <si>
    <t>Clock Cycle Time (ns)</t>
  </si>
  <si>
    <t>Instructions</t>
  </si>
  <si>
    <t>LPDDR2</t>
  </si>
  <si>
    <t>Manufacturer:</t>
  </si>
  <si>
    <t xml:space="preserve">Shaded cells may require updating per the DRAM memory data sheet parameters. Certain registers should not need to be modified by the user. If a register is not provided then it is assumed this parameter is not to be changed per the provided initialization script.Certain registers are provided though they may be noted as recommended to not change. </t>
  </si>
  <si>
    <t>Legend</t>
  </si>
  <si>
    <t>On other tabs, this color indicates the cells that are affected by changes on the Register Configuration tab.</t>
  </si>
  <si>
    <t>On Register Configuration Tab, this color indicates the bitfields that would commonly require updating.</t>
  </si>
  <si>
    <t>Clock Cycle or Binary Setting</t>
  </si>
  <si>
    <t>Revision History</t>
  </si>
  <si>
    <t>On Register Configuration Tab, this color indicates the bitfields that may be updated, but should typically not require it.</t>
  </si>
  <si>
    <t>Automatically Updated Setting</t>
  </si>
  <si>
    <t>On Register Configuration Tab, this color indicates the bitfields that are updated automatically from setting provided in the "Device Information" table or other cells, and should not be changed manually</t>
  </si>
  <si>
    <t>2. Important, these fields need to be filled out correctly as these values are used later in this tool for register settings.</t>
  </si>
  <si>
    <r>
      <t>Number of Chip Selects used</t>
    </r>
    <r>
      <rPr>
        <vertAlign val="superscript"/>
        <sz val="10"/>
        <rFont val="Arial"/>
        <family val="2"/>
      </rPr>
      <t>2</t>
    </r>
  </si>
  <si>
    <r>
      <t>Number of ROW Addresses</t>
    </r>
    <r>
      <rPr>
        <vertAlign val="superscript"/>
        <sz val="10"/>
        <rFont val="Arial"/>
        <family val="2"/>
      </rPr>
      <t>2</t>
    </r>
  </si>
  <si>
    <r>
      <t>Number of COLUMN Addresses</t>
    </r>
    <r>
      <rPr>
        <vertAlign val="superscript"/>
        <sz val="10"/>
        <rFont val="Arial"/>
        <family val="2"/>
      </rPr>
      <t>2</t>
    </r>
  </si>
  <si>
    <t>On Register Configuration Tab, an unshaded cell means that the value should remain as is and should not be modified. In these cases, the settings are provided for completeness.</t>
  </si>
  <si>
    <t>How to use the DRAM register programming aid outline</t>
  </si>
  <si>
    <t>Step 1. Obtain the desired DRAM data sheet from the DRAM vendor</t>
  </si>
  <si>
    <t>Step 3. Go through the various shaded cells in the spread sheet to update with data from the DRAM sheet (take special note of the “Legend” table to ascertain the meaning of different shaded cells; in many cases, the cells may not need to be updated).</t>
  </si>
  <si>
    <t>Total DRAM density (Gb)</t>
  </si>
  <si>
    <t>LPDDR3</t>
  </si>
  <si>
    <t>DDRC_MSTR</t>
  </si>
  <si>
    <t>Description: Set to 1 when the uMCTL2 and DRAM has to be put in DLL-off mode for low frequency operation.
Set to 0 to put uMCTL2 and DRAM in DLL-on mode for normal frequency operation.
Value After Reset: 0x0</t>
  </si>
  <si>
    <t>DDRC_RFSHTMG</t>
  </si>
  <si>
    <t>Description: Wait period before driving the OCD complete command to SDRAM.
Unit: Counts of a global timer that pulses every 32 clock cycles.
There is no known specific requirement for this; it may be set to zero.
Value After Reset: 0x0</t>
  </si>
  <si>
    <t>DDRC_INIT1</t>
  </si>
  <si>
    <t>DDRC_INIT0</t>
  </si>
  <si>
    <t>DDRC_INIT4</t>
  </si>
  <si>
    <t>DDRC_INIT3</t>
  </si>
  <si>
    <t>DDRC_RANKCTL</t>
  </si>
  <si>
    <t>DDRC_DRAMTMG0</t>
  </si>
  <si>
    <t>DDRC_DRAMTMG1</t>
  </si>
  <si>
    <t>DDRC_DRAMTMG2</t>
  </si>
  <si>
    <t>DDRC_DRAMTMG3</t>
  </si>
  <si>
    <t>DDRC_DRAMTMG4</t>
  </si>
  <si>
    <t>DDRC_DRAMTMG5</t>
  </si>
  <si>
    <t>DDRC_ZQCTL0</t>
  </si>
  <si>
    <t>DDRC_DFITMG0</t>
  </si>
  <si>
    <t>DDRC_DFITMG1</t>
  </si>
  <si>
    <t>DDRC_DFIUPD0</t>
  </si>
  <si>
    <t>DDRC_DFIUPD1</t>
  </si>
  <si>
    <t>DDRC_DFIUPD2</t>
  </si>
  <si>
    <t>DDRC_ADDRMAP0</t>
  </si>
  <si>
    <t>DDRC_ADDRMAP1</t>
  </si>
  <si>
    <t>DDRC_ADDRMAP5</t>
  </si>
  <si>
    <t>DDRC_ADDRMAP6</t>
  </si>
  <si>
    <t>DDRC_ODTMAP</t>
  </si>
  <si>
    <t>Description: Indicates which remote ODTs must be turned on during a write to rank 0.
Each rank has a remote ODT (in the SDRAM) which can be turned on by setting the appropriate bit here.
Rank 0 is controlled by the LSB; rank 1 is controlled by bit next to the LSB and so on.
For each rank, set its bit to 1 to enable its ODT.
Value After Reset: 0x1</t>
  </si>
  <si>
    <t>Description: Indicates which remote ODTs must be turned on during a read from rank 0.
Each rank has a remote ODT (in the SDRAM) which can be turned on by setting the appropriate bit here.
Rank 0 is controlled by the LSB; rank 1 is controlled by bit next to the LSB and so on.
For each rank, set its bit to 1 to enable its ODT.
Value After Reset: 0x1</t>
  </si>
  <si>
    <t>Description: Indicates which remote ODTs must be turned on during a read from rank 1.
Each rank has a remote ODT (in the SDRAM) which can be turned on by setting the appropriate bit here.
Rank 0 is controlled by the LSB; rank 1 is controlled by bit next to the LSB and so on.
For each rank, set its bit to 1 to enable its ODT.
Value After Reset: 0x2</t>
  </si>
  <si>
    <t>Description: Indicates which remote ODTs must be turned on during a write to rank 1.
Each rank has a remote ODT (in the SDRAM) which can be turned on by setting the appropriate bit here.
Rank 0 is controlled by the LSB; rank 1 is controlled by bit next to the LSB and so on.
For each rank, set its bit to 1 to enable its ODT.
Value After Reset: 0x2</t>
  </si>
  <si>
    <t>Description: Enables the support for acknowledging PHY-initiated updates:
■ 0 - Disabled
■ 1 - Enabled
Value After Reset: 0x1</t>
  </si>
  <si>
    <t>Description: This is the minimum amount of time between uMCTL2 initiated DFI update requests (which is executed whenever the uMCTL2 is idle).
Set this number higher to reduce the frequency of update requests, which can have a small impact on the latency of the first read request when the uMCTL2 is idle.
Unit: 1024 clocks
Value After Reset: 0x0</t>
  </si>
  <si>
    <t>Description: Specifies the maximum number of clock cycles that the dfi_ctrlupd_req signal can assert.
Lowest value to assign to this variable is 0x40.
Unit: Clocks
Value After Reset: 0x40</t>
  </si>
  <si>
    <t>Description: Specifies the minimum number of clock cycles that the dfi_ctrlupd_req signal must be asserted.
The uMCTL2 expects the PHY to respond within this time. If the PHY does not respond, the uMCTL2 de-asserts dfi_ctrlupd_req after dfi_t_ctrlup_min + 2 cycles.
Lowest value to assign to this variable is 0x3.
Unit: Clocks
Value After Reset: 0x3</t>
  </si>
  <si>
    <t>Description: Disable the automatic dfi_ctrlupd_req generation by the uMCTL2 following a self-refresh exit.
■ 1 - Disable the automatic dfi_ctrlupd_req generation by the uMCTL2 following a self-refresh exit. The core must issue the dfi_ctrlupd_req signal using register reg_ddrc_ctrlupd. .
■ 0 - uMCTL2 issues a dfi_ctrlupd_req after exiting self-refresh.
This register field is changeable on the fly.
Value After Reset: 0x0</t>
  </si>
  <si>
    <t>Description: Disable the automatic dfi_ctrlupd_req generation by the uMCTL2.
■ 1 - Disable the automatic dfi_ctrlupd_req generation by the uMCTL2. The core must issue the dfi_ctrlupd_req signal using register reg_ddrc_ctrlupd.
■ 0 - uMCTL2 issues dfi_ctrlupd_req periodically.
This register field is changeable on the fly.
Value After Reset: 0x0</t>
  </si>
  <si>
    <t>Description: Specifies the number of DFI clock cycles from the de-assertion of the dfi_dram_clk_disable signal on the DFI until the first valid rising edge of the clock to the DRAM memory devices, at the PHY-DRAM boundary.
If the DFI clock and the memory clock are not phase aligned, this timing parameter should be rounded up to the next integer value.
Value After Reset: 0x4</t>
  </si>
  <si>
    <t>Description: Specifies the number of clock cycles between when dfi_wrdata_en is asserted to when the associated write data is driven on the dfi_wrdata signal.
This corresponds to the DFI timing parameter tphy_wrdata.
Refer to PHY specification for correct value.
Note, max supported value is 8.
Unit: Clocks
Value After Reset: 0x0</t>
  </si>
  <si>
    <t>Description: Disable Automatic ZQ Calibration
■ 1 - Disables uMCTL2 generation of ZQCS command. Register DBGCMD.zq_calib_short can be used instead to issue ZQ calibration request from APB module.
■ 0 - Internally generate ZQCS commands based on ZQCTL1.t_zq_short_interval_x1024.
Value After Reset: 0x0</t>
  </si>
  <si>
    <t>Description: Disable ZQCL command at Self-Refresh exit.
■ 1 - Disable issuing of ZQCL command at Self-Refresh exit.
■ 0 - Enable issuing of ZQCL command at Self-Refresh exit.
Value After Reset: 0x0</t>
  </si>
  <si>
    <t>Description: Shared ZQ resistor between ranks.
■ 1 - Denotes that ZQ resistor is shared between ranks. Means ZQinit/ZQCL/ZQCS commands are sent to one rank at a time with tZQinit/tZQCL/tZQCS timing met between commands so that commands to different ranks do not overlap.
■ 0 - ZQ resistor is not shared.
Value After Reset: 0x0</t>
  </si>
  <si>
    <t>DDRC timing parameter (DDR device timing parameter)</t>
  </si>
  <si>
    <t>DDRC Control Parameter</t>
  </si>
  <si>
    <t>Description: Selects the HIF address bit used as rank address bit 0.
Valid Range: 0 to 27, and 31
Internal Base: 6
The selected HIF address bit is determined by adding the internal base to the value of this field.
If set to 31, rank address bit 0 is set to 0.
Value After Reset: 0x0</t>
  </si>
  <si>
    <t>Description: If lower bit is enabled the SDRAM initialization routine is skipped. The upper bit decides what state the controller starts up in when reset is removed
■ 00 - SDRAM Initialization routine is run after power-up
■ 01 - SDRAM Initialization routine is skipped after power-up. Controller starts up in Normal Mode
■ 11 - SDRAM Initialization routine is skipped after power-up. Controller starts up in Self-refresh Mode
■ 10 - SDRAM Initialization routine is run after power-up.
Value After Reset: 0x0</t>
  </si>
  <si>
    <t>Description: Only present for multi-rank configurations.
Background: Reads to the same rank can be performed back-to-back. Reads to different ranks require additional gap dictated by the register RANKCTL.diff_rank_rd_gap. This is to avoid possible data bus contention as well as to give PHY enough time to switch the delay when changing ranks. The uMCTL2 arbitrates for bus access on a cycle-by-cycle basis; therefore after a read is scheduled, there are few clock cycles (determined by the value on RANKCTL.diff_rank_rd_gap register) in which only reads from the same rank are eligible to be scheduled. This prevents reads from other ranks from having fair access to the data bus.
This parameter represents the maximum number of reads that can be scheduled consecutively to the same rank. After this number is reached, a delay equal to RANKCTL.diff_rank_rd_gap is inserted by the scheduler to allow all ranks a fair opportunity to be scheduled. Higher numbers increase bandwidth utilization, lower numbers increase fairness.
This feature can be DISABLED by setting this register to 0. When set to 0, the Controller stays on the same rank as long as commands are available for it.
Minimum programmable value is 0 (feature disabled) and maximum programmable value is 0xF.
FOR PERFORMANCE ONLY. Recommend leave as default.
Value After Reset: 0xf</t>
  </si>
  <si>
    <t>DDRC_DRAMTMG7</t>
  </si>
  <si>
    <t>DDRC_DRAMTMG6</t>
  </si>
  <si>
    <t>DDRC_ADDRMAP4</t>
  </si>
  <si>
    <t>DDRC_ZQCTL1</t>
  </si>
  <si>
    <r>
      <t>Number of BANK addresses</t>
    </r>
    <r>
      <rPr>
        <vertAlign val="superscript"/>
        <sz val="10"/>
        <rFont val="Arial"/>
        <family val="2"/>
      </rPr>
      <t>2</t>
    </r>
  </si>
  <si>
    <t>SKIP_DRAM_INIT</t>
  </si>
  <si>
    <t>POST_CKE_X1024</t>
  </si>
  <si>
    <t>PRE_CKE_X1024</t>
  </si>
  <si>
    <t>Number of DDRC Clock Cycles</t>
  </si>
  <si>
    <t>Number of DDR Clock Cycles or time (ns)</t>
  </si>
  <si>
    <t>WR2RD</t>
  </si>
  <si>
    <t>RD2WR</t>
  </si>
  <si>
    <t>WRITE_LATENCY</t>
  </si>
  <si>
    <t>READ_LATENCY</t>
  </si>
  <si>
    <t>T_XP</t>
  </si>
  <si>
    <t>RD2PRE</t>
  </si>
  <si>
    <t>T_MRW</t>
  </si>
  <si>
    <t>T_MRD</t>
  </si>
  <si>
    <t>T_MOD</t>
  </si>
  <si>
    <t>ACTIVE_RANKS</t>
  </si>
  <si>
    <t>BURST_RDWR</t>
  </si>
  <si>
    <t>DLL_OFF_MODE</t>
  </si>
  <si>
    <t>DATA_BUS_WIDTH</t>
  </si>
  <si>
    <t>BURSTCHOP</t>
  </si>
  <si>
    <t>BURST_MODE</t>
  </si>
  <si>
    <t>DDR3</t>
  </si>
  <si>
    <r>
      <rPr>
        <b/>
        <sz val="10"/>
        <color theme="1"/>
        <rFont val="Arial"/>
        <family val="2"/>
      </rPr>
      <t>Note, this information is automatically obtained from the Device Information table above.</t>
    </r>
    <r>
      <rPr>
        <sz val="10"/>
        <color theme="1"/>
        <rFont val="Arial"/>
        <family val="2"/>
      </rPr>
      <t xml:space="preserve">
Description: Select LPDDR3 SDRAM
■1 - LPDDR3 SDRAM device in use.
■0 - non-LPDDR3 device in use
Present only in designs configured to support LPDDR3.
Value After Reset: 0x0</t>
    </r>
  </si>
  <si>
    <r>
      <rPr>
        <b/>
        <sz val="10"/>
        <color theme="1"/>
        <rFont val="Arial"/>
        <family val="2"/>
      </rPr>
      <t>Note, this information is automatically obtained from the Device Information table above</t>
    </r>
    <r>
      <rPr>
        <sz val="10"/>
        <color theme="1"/>
        <rFont val="Arial"/>
        <family val="2"/>
      </rPr>
      <t>.
Description: Select LPDDR2 SDRAM
■1 - LPDDR2 SDRAM device in use.
■0 - non-LPDDR2 device in use
Present only in designs configured to support LPDDR2.
Value After Reset: 0x0</t>
    </r>
  </si>
  <si>
    <r>
      <rPr>
        <b/>
        <sz val="10"/>
        <color theme="1"/>
        <rFont val="Arial"/>
        <family val="2"/>
      </rPr>
      <t>Note, this information is automatically obtained from the Device Information table above.</t>
    </r>
    <r>
      <rPr>
        <sz val="10"/>
        <color theme="1"/>
        <rFont val="Arial"/>
        <family val="2"/>
      </rPr>
      <t xml:space="preserve">
Description: Select DDR3 SDRAM
■1 - DDR3 SDRAM device in use
■0 - non-DDR3 SDRAM device in use
Only present in designs that support DDR3.
Value After Reset: (MEMC_DDR3==1) ? 0x1 : 0x0</t>
    </r>
  </si>
  <si>
    <t>T_RCD</t>
  </si>
  <si>
    <t>T_CCD</t>
  </si>
  <si>
    <t>T_RRD</t>
  </si>
  <si>
    <t>T_RP</t>
  </si>
  <si>
    <t>T_CKSRX</t>
  </si>
  <si>
    <t>T_CKSRE</t>
  </si>
  <si>
    <t>T_CKCSX</t>
  </si>
  <si>
    <t>T_CKDPDX</t>
  </si>
  <si>
    <t>T_CKDPDE</t>
  </si>
  <si>
    <t>T_CKPDE</t>
  </si>
  <si>
    <t>T_CKPDX</t>
  </si>
  <si>
    <t>DRAM_RSTN_X1024</t>
  </si>
  <si>
    <t>PRE_OCD_X32</t>
  </si>
  <si>
    <t>T_RFC_NOM_X32</t>
  </si>
  <si>
    <t>T_RFC_MIN</t>
  </si>
  <si>
    <t>DIS_AUTO_ZQ</t>
  </si>
  <si>
    <t>DIS_SRX_ZQCL</t>
  </si>
  <si>
    <t>ZQ_RESISTOR_SHARED</t>
  </si>
  <si>
    <t>T_ZQ_LONG_NOP</t>
  </si>
  <si>
    <t>T_ZQ_SHORT_NOP</t>
  </si>
  <si>
    <t>T_ZQ_RESET_NOP</t>
  </si>
  <si>
    <t>T_ZQ_SHORT_INTERVAL_X1024</t>
  </si>
  <si>
    <t>DFI_T_CTRL_DELAY</t>
  </si>
  <si>
    <t>DFI_RDDATA_USE_SDR</t>
  </si>
  <si>
    <t>DFI_T_RDDDATA_EN</t>
  </si>
  <si>
    <t>DFI_WRDATA_USE_SDR</t>
  </si>
  <si>
    <t>DFI_TPHY_WRDATA</t>
  </si>
  <si>
    <t>DFI_TPHY_WRLAT</t>
  </si>
  <si>
    <t>DFI_T_WRDATA_DELAY</t>
  </si>
  <si>
    <t>DFI_T_DRAM_CLK_DISABLE</t>
  </si>
  <si>
    <t>DFI_T_DRAM_CLK_ENABLE</t>
  </si>
  <si>
    <t>DIS_AUTO_CTRLUPD</t>
  </si>
  <si>
    <t>DIS_AUTO_CTRLUPD_SRX</t>
  </si>
  <si>
    <t>DFI_T_CTRLUP_MAX</t>
  </si>
  <si>
    <t>DFI_T_CTRLUP_MIN</t>
  </si>
  <si>
    <t>DFI_T_CTRLUPD_INTERVAL_MIN_X1024</t>
  </si>
  <si>
    <t>DFI_T_CTRLUPD_INTERVAL_MAX_X1024</t>
  </si>
  <si>
    <t>DFI_PHYUPD_EN</t>
  </si>
  <si>
    <t>Description: Indicates burst mode.
0 - Sequential burst mode
1 - Interleaved burst mode (not supported in current design)
Value After Reset: 0x0</t>
  </si>
  <si>
    <t>The following ADDRMAP registers are automatically updated from the Device Information table above and should NOT be manually changed.</t>
  </si>
  <si>
    <t>ADDRMAP_CS_BIT1</t>
  </si>
  <si>
    <t>ADDRMAP_CS_BIT0</t>
  </si>
  <si>
    <t>ADDRMAP_BANK_B2</t>
  </si>
  <si>
    <t>ADDRMAP_BANK_B1</t>
  </si>
  <si>
    <t>ADDRMAP_BANK_B0</t>
  </si>
  <si>
    <t>ADDRMAP_COL_B11</t>
  </si>
  <si>
    <t>ADDRMAP_COL_B10</t>
  </si>
  <si>
    <t>ADDRMAP_ROW_B11</t>
  </si>
  <si>
    <t>ADDRMAP_ROW_B2_10</t>
  </si>
  <si>
    <t>ADDRMAP_ROW_B1</t>
  </si>
  <si>
    <t>ADDRMAP_ROW_B0</t>
  </si>
  <si>
    <t>ADDRMAP_ROW_B15</t>
  </si>
  <si>
    <t>ADDRMAP_ROW_B14</t>
  </si>
  <si>
    <t>ADDRMAP_ROW_B13</t>
  </si>
  <si>
    <t>ADDRMAP_ROW_B12</t>
  </si>
  <si>
    <t>The following registers are not recommended to be changed by the user</t>
  </si>
  <si>
    <t>DIFF_RANK_WR_GAP</t>
  </si>
  <si>
    <t>DIFF_RANK_RD_GAP</t>
  </si>
  <si>
    <t>MAX_RANK_RD</t>
  </si>
  <si>
    <t>WR2PRE</t>
  </si>
  <si>
    <t>T_FAW</t>
  </si>
  <si>
    <t>T_RAS_MAX</t>
  </si>
  <si>
    <t>T_RAS_MIN</t>
  </si>
  <si>
    <t>(Automatically Calculated) Number of DDRC Clock Cycles</t>
  </si>
  <si>
    <t>RANK1_RD_ODT</t>
  </si>
  <si>
    <t>RANK1_WR_ODT</t>
  </si>
  <si>
    <t>RANK0_RD_ODT</t>
  </si>
  <si>
    <t>RANK0_WR_ODT</t>
  </si>
  <si>
    <t>Details:</t>
  </si>
  <si>
    <t>Version number
(Highest to Lowest)</t>
  </si>
  <si>
    <t>1. Important: it is necessary to populate this field with the density in Gbits as it is used in later calculations. This field is cacluated from the previous two fields. The user can also simply type in the total density as well in this field.</t>
  </si>
  <si>
    <t>Latest Version Number</t>
  </si>
  <si>
    <t>The following register is automatically updated from the Device Information table above and should NOT be manually changed.</t>
  </si>
  <si>
    <r>
      <t>The following are to be completed in the "</t>
    </r>
    <r>
      <rPr>
        <i/>
        <sz val="11"/>
        <rFont val="Calibri"/>
        <family val="2"/>
      </rPr>
      <t>Register Configuration"</t>
    </r>
    <r>
      <rPr>
        <sz val="11"/>
        <rFont val="Calibri"/>
        <family val="2"/>
      </rPr>
      <t xml:space="preserve"> Worksheet tab.</t>
    </r>
  </si>
  <si>
    <t>This tool is configured to work with (enter board name):</t>
  </si>
  <si>
    <t>ENABLED</t>
  </si>
  <si>
    <t>DISABLED</t>
  </si>
  <si>
    <t>Description: Selects proportion of DQ bus width that is used by the SDRAM
■00 - Full DQ bus width to SDRAM 
■01 - Half DQ bus width to SDRAM
(The following bit settings are not implmented in this design)
■10 - Quarter DQ bus width to SDRAM
■11 - Reserved.
Value After Reset: 0x0</t>
  </si>
  <si>
    <t>LPDDR4</t>
  </si>
  <si>
    <t>DDR4</t>
  </si>
  <si>
    <t>DEVICE_CONFIG</t>
  </si>
  <si>
    <r>
      <rPr>
        <b/>
        <sz val="10"/>
        <color theme="1"/>
        <rFont val="Arial"/>
        <family val="2"/>
      </rPr>
      <t>Note, this information is automatically obtained from the Device Information table above.</t>
    </r>
    <r>
      <rPr>
        <sz val="10"/>
        <color theme="1"/>
        <rFont val="Arial"/>
        <family val="2"/>
      </rPr>
      <t xml:space="preserve">
Description: Maps the Chip Selects in use.
Only the following bit configurations are legal:
■ 01 - for one rank (CS0 populated)
■ 11 - for two ranks (CS1 and CS0 populated)
Value After Reset: 0x3</t>
    </r>
  </si>
  <si>
    <t xml:space="preserve">Choose which registers are used.
■ 0 - Original registers (default, recommended setting)
■ 1 - Shadow registers </t>
  </si>
  <si>
    <t>FREQUENCY_MODE</t>
  </si>
  <si>
    <t>Description: When set, enable burst-chop in DDR3/DDR4. This is only supported in AXI bus configurations (UMCTL2_INCL_ARB not set) using full bus width mode (MSTR.data_bus_width = 00).
■ 0 - Disabled.
■ 1 - Burst-Chop enabled.
Value After Reset: 0x0</t>
  </si>
  <si>
    <r>
      <rPr>
        <b/>
        <sz val="10"/>
        <color theme="1"/>
        <rFont val="Arial"/>
        <family val="2"/>
      </rPr>
      <t>Note, this information is automatically obtained from the Device Information table above.</t>
    </r>
    <r>
      <rPr>
        <sz val="10"/>
        <color theme="1"/>
        <rFont val="Arial"/>
        <family val="2"/>
      </rPr>
      <t xml:space="preserve">
Description: Select LPDDR4 SDRAM
■1 - LPDDR4 SDRAM device in use.
■0 - non-LPDDR4 device in use
Present only in designs configured to support LPDDR4.
Value After Reset: 0x0</t>
    </r>
  </si>
  <si>
    <r>
      <rPr>
        <b/>
        <sz val="10"/>
        <color theme="1"/>
        <rFont val="Arial"/>
        <family val="2"/>
      </rPr>
      <t>Note, this information is automatically obtained from the Device Information table above.</t>
    </r>
    <r>
      <rPr>
        <sz val="10"/>
        <color theme="1"/>
        <rFont val="Arial"/>
        <family val="2"/>
      </rPr>
      <t xml:space="preserve">
Description: Select DDR4 SDRAM
■1 - DDR4 SDRAM device in use.
■0 - non-DDR4 device in use
Present only in designs configured to support DDR4.
Value After Reset: 0x0</t>
    </r>
  </si>
  <si>
    <r>
      <t xml:space="preserve">Description: SDRAM burst length used:
■0001 - Reserved.
</t>
    </r>
    <r>
      <rPr>
        <b/>
        <sz val="10"/>
        <color theme="1"/>
        <rFont val="Arial"/>
        <family val="2"/>
      </rPr>
      <t>■0010 - Burst length of 4 (recommended for LPDDR2)</t>
    </r>
    <r>
      <rPr>
        <sz val="10"/>
        <color theme="1"/>
        <rFont val="Arial"/>
        <family val="2"/>
      </rPr>
      <t xml:space="preserve">
■</t>
    </r>
    <r>
      <rPr>
        <b/>
        <sz val="10"/>
        <color theme="1"/>
        <rFont val="Arial"/>
        <family val="2"/>
      </rPr>
      <t>0100 - Burst length of 8 (recommended for DDR4/DDR3/LPDDR3)</t>
    </r>
    <r>
      <rPr>
        <sz val="10"/>
        <color theme="1"/>
        <rFont val="Arial"/>
        <family val="2"/>
      </rPr>
      <t xml:space="preserve">
■</t>
    </r>
    <r>
      <rPr>
        <b/>
        <sz val="10"/>
        <color theme="1"/>
        <rFont val="Arial"/>
        <family val="2"/>
      </rPr>
      <t>1000 - Burst length of 16 (recommended for LPDDR4)</t>
    </r>
    <r>
      <rPr>
        <sz val="10"/>
        <color theme="1"/>
        <rFont val="Arial"/>
        <family val="2"/>
      </rPr>
      <t xml:space="preserve">
All other values are reserved.
This controls the burst size used to access the SDRAM. This must match the burst length mode register setting in the SDRAM. 
Value After Reset: 0x4</t>
    </r>
  </si>
  <si>
    <t>T_CMDCKE</t>
  </si>
  <si>
    <t>T_MRD_PDA</t>
  </si>
  <si>
    <t>DDRC_DRAMTMG12</t>
  </si>
  <si>
    <t>DIS_MPSMX_ZQCL</t>
  </si>
  <si>
    <t>Description:
■1 - Disable issuing of ZQCL command at Maximum Power Saving Mode exit. Only applicable when run in DDR4 mode.
■0 - Enable issuing of ZQCL command at Maximum Power Saving Mode exit. Only applicable when run in DDR4 mode.
This is only present for designs supporting DDR4 devices.</t>
  </si>
  <si>
    <t>Description: Specifies the number of DFI clocks between when the dfi_wrdata_en signal is asserted and when the corresponding write data transfer is completed on the DRAM bus.
This corresponds to the DFI timing parameter twrdata_delay. Refer to PHY specification for correct value.
For DFI 3.0 PHY, set to twrdata_delay, a new timing parameter introduced in DFI 3.0.
For DFI 2.1 PHY, set to tphy_wrdata + (delay of DFI write data to the DRAM).
Value to be programmed is in terms of DFI clocks, not PHY clocks.
In FREQ_RATIO=2, divide PHY's value by 2 and round up to next integer.
If using DFITMG0.dfi_wrdata_use_sdr=1, add 1 to the value.
Unit: Clocks
Value After Reset: 0x0</t>
  </si>
  <si>
    <t>DFI_T_CMD_LAT</t>
  </si>
  <si>
    <t>Description: Specifies the number of DFI PHY clocks between when the dfi_cs signal is asserted and when the associated command is driven. This field is used for CAL mode, should be set to '0' or the value which matches the CAL mode register setting in the DRAM.
If the PHY can add the latency for CAL mode, this should be set to '0'.
Valid Range: 0, 3, 4, 5, 6, and 8
Value After Reset: 0x0</t>
  </si>
  <si>
    <t>DFI_T_PARIN_LAT</t>
  </si>
  <si>
    <t>Description: Specifies the number of DFI PHY clocks between when the dfi_cs signal is asserted and when the associated dfi_parity_in signal is driven.
Value After Reset: 0x0</t>
  </si>
  <si>
    <t>DDRC_DFITMG2</t>
  </si>
  <si>
    <t>DFI_TPHY_RDCSLAT</t>
  </si>
  <si>
    <t>DFI_TPHY_WRCSLAT</t>
  </si>
  <si>
    <t>DDRC_DFIMISC</t>
  </si>
  <si>
    <t>DFI_DATA_CS_POLARITY</t>
  </si>
  <si>
    <t>PHY_DBI_MODE</t>
  </si>
  <si>
    <t>DFI_INIT_COMPLETE_EN</t>
  </si>
  <si>
    <t>Description: Defines polarity of dfi_wrdata_cs and dfi_rddata_cs signals.
■0: Signals are active low
■1: Signals are active high
Value After Reset: 0x0</t>
  </si>
  <si>
    <t>Description: DBI implemented in DDRC or PHY.
■0 - DDRC implements DBI functionality.
■1 - PHY implements DBI functionality. Present only in designs configured to support DDR4 and LPDDR4.
Value After Reset: 0x0</t>
  </si>
  <si>
    <t>Description: PHY initialization complete enable signal.
When asserted the dfi_init_complete signal can be used to trigger SDRAM initialization
Value After Reset: 0x1</t>
  </si>
  <si>
    <t>Description: This is the maximum amount of time between uMCTL2 initiated DFI update requests.
This timer resets with each update request; when the timer expires dfi_ctrlupd_req is sent and traffic is blocked until the dfi_ctrlupd_ackx is received. PHY can use this idle time to recalibrate the delay lines to the DLLs. The DFI controller update is also used to reset PHY FIFO pointers in case of data capture errors. Updates are required to maintain calibration over PVT, but frequent updates may impact performance.
Note: Value programmed for DFIUPD1.dfi_t_ctrlupd_interval_max_x1024 must be greater than DFIUPD1.dfi_t_ctrlupd_interval_min_x1024.
Unit: 1024 clocks
Value After Reset: 0x0</t>
  </si>
  <si>
    <t>DDRC0 Base Address (do not modify)</t>
  </si>
  <si>
    <t>DDRC0 Register address</t>
  </si>
  <si>
    <t>DDRC0 Register address (HEX)</t>
  </si>
  <si>
    <t>DDRC_RFSHCTL0</t>
  </si>
  <si>
    <t>refresh_margin</t>
  </si>
  <si>
    <t>Threshold value in number of DFI clock cycles before the critical refresh or page timer expires. A critical refresh is to be issued before this threshold is reached. It is recommended that this not be changed from the default value, currently shown as 0x2. It must always be less than internally used t_rfc_nom_x32. Note that, in LPDDR2/LPDDR3/LPDDR4, internally used t_rfc_nom_x32 may be equal to RFSHTMG.t_rfc_nom_x32&gt;&gt;2 if derating is enabled (DERATEEN.derate_enable=1). Otherwise, internally used t_rfc_nom_x32 will be equal to RFSHTMG.t_rfc_nom_x32.
Unit: Multiples of 32 DFI clocks.
Value After Reset: 0x2
Exists: Always</t>
  </si>
  <si>
    <t>refresh_to_x32</t>
  </si>
  <si>
    <t>If the refresh timer (tRFCnom, also known as tREFI) has expired at least once, but it has not expired (RFSHCTL0.refresh_burst+1) times yet, then a speculative refresh may be performed. A speculative refresh is a refresh performed at a time when refresh would be useful, but before it is absolutely required. When the SDRAM bus is idle for a period of time determined by this RFSHCTL0.refresh_to_x32 and the refresh timer has expired at least once since the last refresh, then a speculative refresh is performed. Speculative refreshes continues successively until there are no refreshes pending or until new reads or writes are issued to the uMCTL2.
FOR PERFORMANCE ONLY.
Unit: Multiples of 32 DFI clocks.
Value After Reset: 0x10
Exists: Always</t>
  </si>
  <si>
    <t>refresh_burst</t>
  </si>
  <si>
    <t>The programmed value + 1 is the number of refresh timeouts that is allowed to accumulate before traffic is blocked and the refreshes are forced to execute. Closing pages to perform a refresh is a one-time penalty that must be paid for each group of refreshes. Therefore, performing refreshes in a burst reduces the per-refresh penalty of these page closings. Higher numbers for RFSHCTL.refresh_burst slightly increases utilization; lower numbers decreases the worst-case latency associated with refreshes.
■0 - single refresh
■1 - burst-of-2 refresh
■7 - burst-of-8 refresh
For information on burst refresh feature refer to section 3.9 of DDR2 JEDEC specification - JESD79-2F.pdf.
For DDR2/3, the refresh is always per-rank and not per-bank. The rank refresh can be accumulated over 8*tREFI cycles using the burst refresh feature. In DDR4 mode, according to Fine Granularity feature, 8 refreshes can be postponed in 1X mode, 16 refreshes in 2X mode and 32 refreshes in 4X mode. If using PHY-initiated updates, care must be taken in the setting of RFSHCTL0.refresh_burst, to ensure that tRFCmax is not violated due to a PHY-initiated update occurring shortly before a refresh burst was due. In this situation, the refresh burst will be delayed until the PHY-initiated update is complete.
Value After Reset: 0x0
Exists: Always</t>
  </si>
  <si>
    <t>per_bank_refresh</t>
  </si>
  <si>
    <t>■1 - Per bank refresh;
■0 - All bank refresh.
Per bank refresh allows traffic to flow to other banks. Per bank refresh is not supported by all LPDDR2 devices but should be supported by all LPDDR3/LPDDR4 devices. Present only in designs configured to support LPDDR2/LPDDR3/LPDDR4
Value After Reset: 0x0
Exists: MEMC_LPDDR2==1</t>
  </si>
  <si>
    <t>T_RC</t>
  </si>
  <si>
    <r>
      <rPr>
        <b/>
        <sz val="10"/>
        <color theme="1"/>
        <rFont val="Arial"/>
        <family val="2"/>
      </rPr>
      <t>Note, this field is updated automatically and it is not recommended to manually configure it.</t>
    </r>
    <r>
      <rPr>
        <sz val="10"/>
        <color theme="1"/>
        <rFont val="Arial"/>
        <family val="2"/>
      </rPr>
      <t xml:space="preserve">
Number of cycles to assert SDRAM reset signal during init sequence.
This is only present for designs supporting DDR3, DDR4 or LPDDR4 devices. For use with a Synopsys DDR PHY, this should be set to a minimum of 1.
When the controller is operating in 1:2 frequency ratio mode, program this to JEDEC spec value divided by 2, and round it up to the next integer value.
Unit: 1024 DFI clock cycles.
Value After Reset: 0x0</t>
    </r>
  </si>
  <si>
    <t>DDRC_DBICTL</t>
  </si>
  <si>
    <t>RD_DBI_EN</t>
  </si>
  <si>
    <t>WR_DBI_EN</t>
  </si>
  <si>
    <t>DM_EN</t>
  </si>
  <si>
    <t>Read DBI enable signal in DDRC.
■0 - Read DBI is disabled.
■1 - Read DBI is enabled.
This signal must be set the same value as DRAM's mode register.
■DDR4: MR5 bit A12. When x4 devices are used, this signal must be set to 0.
■LPDDR4: MR3[6]
Value After Reset: 0x0</t>
  </si>
  <si>
    <t>Write DBI enable signal in DDRC.
■0 - Write DBI is disabled.
■1 - Write DBI is enabled.
This signal must be set the same value as DRAM's mode register.
■DDR4: MR5 bit A11. When x4 devices are used, this signal must be set to 0.
■LPDDR4: MR3[7]
Value After Reset: 0x0</t>
  </si>
  <si>
    <t>DM enable signal in DDRC.
■0 - DM is disabled.
■1 - DM is enabled.
This signal must be set the same logical value as DRAM's mode register.
■DDR4: Set this to same value as MR5 bit A10. When x4 devices are used, this signal must be set to 0.
■LPDDR4: Set this to inverted value of MR13[5] which is opposite polarity from this signal
Value After Reset: 0x1</t>
  </si>
  <si>
    <t>Micron</t>
  </si>
  <si>
    <r>
      <rPr>
        <b/>
        <sz val="10"/>
        <color theme="1"/>
        <rFont val="Arial"/>
        <family val="2"/>
      </rPr>
      <t>Note, user must supply tREFI (in ns) from the DRAM data sheet, see description for more details.</t>
    </r>
    <r>
      <rPr>
        <sz val="10"/>
        <color theme="1"/>
        <rFont val="Arial"/>
        <family val="2"/>
      </rPr>
      <t xml:space="preserve">
tREFI: Average time interval between refreshes per rank (Specification: 7.8us for DDR2, DDR3 and DDR4. See JEDEC specification for mDDR, LPDDR2, LPDDR3 and LPDDR4).
For LPDDR2/LPDDR3/LPDDR4:
■if using all-bank refreshes (RFSHCTL0.per_bank_refresh = 0), this register should be set to tREFIab
■if using per-bank refreshes (RFSHCTL0.per_bank_refresh = 1), this register should be set to tREFIpb
When the controller is operating in 1:2 frequency ratio mode, program this to (tREFI/2), no rounding up.
In DDR4 mode, tREFI value is different depending on the refresh mode. The user should program the appropriate value from the spec based on the value programmed in the refresh mode register.
Note that RFSHTMG.t_rfc_nom_x32 * 32 must be greater than RFSHTMG.t_rfc_min, and RFSHTMG.t_rfc_nom_x32 must be greater than 0x1.
■Non-DDR4 or DDR4 Fixed 1x mode: RFSHTMG.t_rfc_nom_x32 must be less than or equal to 0xFFE.
■DDR4 Fixed 2x mode: RFSHTMG.t_rfc_nom_x32 must be less than or equal to 0x7FF.
■DDR4 Fixed 4x mode: RFSHTMG.t_rfc_nom_x32 must be less than or equal to 0x3FF.
Unit: Multiples of 32 clocks.
Value After Reset: 0x62</t>
    </r>
  </si>
  <si>
    <r>
      <rPr>
        <b/>
        <sz val="10"/>
        <color theme="1"/>
        <rFont val="Arial"/>
        <family val="2"/>
      </rPr>
      <t>Note, user must supply tRFC (min) (in ns) from the DRAM data sheet</t>
    </r>
    <r>
      <rPr>
        <sz val="10"/>
        <color theme="1"/>
        <rFont val="Arial"/>
        <family val="2"/>
      </rPr>
      <t xml:space="preserve">
tRFC (min): Minimum time from refresh to refresh or activate.
When the controller is operating in 1:1 mode, t_rfc_min should be set to RoundUp(tRFCmin/tCK).
When the controller is operating in 1:2 mode, t_rfc_min should be set to RoundUp(RoundUp(tRFCmin/tCK)/2).
In LPDDR2/LPDDR3/LPDDR4 mode:
■if using all-bank refreshes, the tRFCmin value in the above equations is equal to tRFCab
■if using per-bank refreshes, the tRFCmin value in the above equations is equal to tRFCpb
In DDR4 mode, the tRFCmin value in the above equations is different depending on the refresh mode (fixed 1X,2X,4X) and the device density. The user should program the appropriate value from the spec based on the 'refresh_mode' and the device density that is used.
Unit: Clocks.
Value After Reset: 0x8c</t>
    </r>
  </si>
  <si>
    <r>
      <rPr>
        <b/>
        <sz val="10"/>
        <color theme="1"/>
        <rFont val="Arial"/>
        <family val="2"/>
      </rPr>
      <t>Note, this field is updated automatically and it is not recommended to manually configure it.</t>
    </r>
    <r>
      <rPr>
        <sz val="10"/>
        <color theme="1"/>
        <rFont val="Arial"/>
        <family val="2"/>
      </rPr>
      <t xml:space="preserve">
Cycles to wait after reset before driving CKE high to start the SDRAM initialization sequence.
Unit: 1024 DFI clock cycles.
DDR2 specifications typically require this to be programmed for a delay of &gt;= 200 us.
LPDDR2/LPDDR3: tINIT1 of 100 ns (min)
LPDDR4: tINIT3 of 2 ms (min)
When the controller is operating in 1:2 frequency ratio mode, program this to JEDEC spec value divided by 2, and round it up to the next integer value.
For DDR3/DDR4 RDIMMs, this should include the time needed to satisfy tSTAB
Value After Reset: 0x4e</t>
    </r>
  </si>
  <si>
    <r>
      <rPr>
        <b/>
        <sz val="10"/>
        <color theme="1"/>
        <rFont val="Arial"/>
        <family val="2"/>
      </rPr>
      <t>Note, this field is updated automatically and it is not recommended to manually configure it.</t>
    </r>
    <r>
      <rPr>
        <sz val="10"/>
        <color theme="1"/>
        <rFont val="Arial"/>
        <family val="2"/>
      </rPr>
      <t xml:space="preserve">
tRAS(max): Maximum time between activate and precharge to same bank. This is the maximum time that a page can be kept open
Minimum value of this register is 1. Zero is invalid.
When the controller is operating in 1:2 frequency ratio mode, program this to (tRAS(max)-1)/2. No rounding up.
Unit: Multiples of 1024 clocks.
Value After Reset: 0x1b</t>
    </r>
  </si>
  <si>
    <r>
      <rPr>
        <b/>
        <sz val="10"/>
        <color theme="1"/>
        <rFont val="Arial"/>
        <family val="2"/>
      </rPr>
      <t>User input required: tRAS(min) (in ns)</t>
    </r>
    <r>
      <rPr>
        <sz val="10"/>
        <color theme="1"/>
        <rFont val="Arial"/>
        <family val="2"/>
      </rPr>
      <t xml:space="preserve">
tRAS(min): Minimum time between activate and precharge to the same bank.
When the controller is operating in 1:2 frequency mode, 1T mode, program this to tRAS(min)/2. No rounding up.
When the controller is operating in 1:2 frequency ratio mode, 2T mode or LPDDR4 mode, program this to (tRAS(min)/2) and round it up to the next integer value.
Unit: Clocks
Value After Reset: 0xf</t>
    </r>
  </si>
  <si>
    <t>T_CKESR</t>
  </si>
  <si>
    <t>T_CKE</t>
  </si>
  <si>
    <t>This is the time before Deep Power Down Exit that CK is maintained as a valid clock before issuing DPDX. Specifies the clock stable time before DPDX.
Recommended settings:
■mDDR: 1
■LPDDR2: 2
■LPDDR3: 2
When the controller is operating in 1:2 frequency ratio mode, program this to recommended value divided by two and round it up to next integer.
This is only present for designs supporting mDDR or LPDDR2 devices.
Value After Reset: 0x2</t>
  </si>
  <si>
    <t>This is the time before Clock Stop Exit that CK is maintained as a valid clock before issuing Clock Stop Exit. Specifies the clock stable time before next command after Clock Stop Exit.
Recommended settings:
■mDDR: 1
■LPDDR2: tXP + 2
■LPDDR3: tXP + 2
■LPDDR4: tXP + 2
When the controller is operating in 1:2 frequency ratio mode, program this to recommended value divided by two and round it up to next integer.
This is only present for designs supporting mDDR or LPDDR2/LPDDR3/LPDDR4 devices.
Value After Reset: 0x5</t>
  </si>
  <si>
    <t>This is the time after Deep Power Down Entry that CK is maintained as a valid clock. Specifies the clock disable delay after DPDE.
Recommended settings:
■mDDR: 0
■LPDDR2: 2
■LPDDR3: 2
When the controller is operating in 1:2 frequency ratio mode, program this to recommended value divided by two and round it up to next integer.
This is only present for designs supporting mDDR or LPDDR2/LPDDR3 devices.
Value After Reset: 0x2</t>
  </si>
  <si>
    <t>This is the time after Power Down Entry that CK is maintained as a valid clock. Specifies the clock disable delay after PDE.
Recommended settings:
■mDDR: 0
■LPDDR2: 2
■LPDDR3: 2
■LPDDR4: tCKELCK
When using DDR2/3/4 SDRAM, this register should be set to the same value as DRAMTMG5.t_cksre. When the controller is operating in 1:2 frequency ratio mode, program this to recommended value divided by two and round it up to next integer.
This is only present for designs supporting mDDR or LPDDR2/LPDDR3/LPDDR4 devices.
Value After Reset: 0x2</t>
  </si>
  <si>
    <t>This is the time before Power Down Exit that CK is maintained as a valid clock before issuing PDX. Specifies the clock stable time before PDX.
Recommended settings:
■mDDR: 0
■LPDDR2: 2
■LPDDR3: 2
■LPDDR4: 2
When using DDR2/3/4 SDRAM, this register should be set to the same value as DRAMTMG5.t_cksrx. When the controller is operating in 1:2 frequency ratio mode, program this to recommended value divided by two and round it up to next integer.
This is only present for designs supporting mDDR or LPDDR2/LPDDR3/LPDDR4 devices.
Value After Reset: 0x2</t>
  </si>
  <si>
    <r>
      <rPr>
        <b/>
        <sz val="10"/>
        <color theme="1"/>
        <rFont val="Arial"/>
        <family val="2"/>
      </rPr>
      <t>Note, the user must input the value of tZQRESET from the DRAM sheet, unless using DDR3, in which case the default value will be used regardless of the input.</t>
    </r>
    <r>
      <rPr>
        <sz val="10"/>
        <color theme="1"/>
        <rFont val="Arial"/>
        <family val="2"/>
      </rPr>
      <t xml:space="preserve">
tZQReset: Number of DFI clock cycles of NOP required after a ZQReset (ZQ calibration Reset) command is issued to SDRAM.
When the controller is operating in 1:2 frequency ratio mode, program this to tZQReset/2 and round it up to the next integer value.
This is only present for designs supporting LPDDR2/LPDDR3/LPDDR4 devices.
Value After Reset: 0x20</t>
    </r>
  </si>
  <si>
    <t>Description: Defines whether dfi_rddata_en/dfi_rddata/dfi_rddata_valid is generated using HDR or SDR values Selects whether value in DFITMG0.dfi_t_rddata_en is in terms of SDR or HDR clock cycles:
■ 0 in terms of HDR clock cycles
■ 1 in terms of SDR clock cycles
Refer to PHY specification for correct value.
Value After Reset: 0x0
Note: Some documents may refer to this bit as dfi_rddata_use_dfi_phy_clk</t>
  </si>
  <si>
    <t>Description: Defines whether dfi_wrdata_en/dfi_wrdata/dfi_wrdata_mask is generated using HDR or SDR values Selects whether value in DFITMG0.dfi_tphy_wrlat is in terms of SDR or HDR clock cycles Selects whether value in DFITMG0.dfi_tphy_wrdata is in terms of SDR or HDR clock cycles
■ 0 in terms of HDR clock cycles
■ 1 in terms of SDR clock cycles
Refer to PHY specification for correct value.
Value After Reset: 0x0
Note: Some documents may refer to this bit as dfi_wrdata_use_dfi_phy_clk</t>
  </si>
  <si>
    <t>0x00000001</t>
  </si>
  <si>
    <t>LPDDR4_6gb_12gb_24gb</t>
  </si>
  <si>
    <t>Indicates what type of LPDDR4 SDRAM device is in use. Per Rank
■ 2'b00: No LPDDR4 SDRAM 6Gb/12Gb/24Gb device in
use. All addresses are valid
■ 2'b01: LPDDR4 SDRAM 6Gb device in use. Every
address having row[14:13]==2'b11 is considered as
invalid
■ 2'b10: LPDDR4 SDRAM 12Gb device in use. Every
address having row[15:14]==2'b11 is considered as
invalid
■ 2'b11: LPDDR4 SDRAM 24Gb device in use.
Unsupported
Present only in designs configured to support LPDDR4.</t>
  </si>
  <si>
    <t>ADDRMAP_COL_B9</t>
  </si>
  <si>
    <t>DDRC_ADDRMAP3</t>
  </si>
  <si>
    <t>ADDRMAP_COL_B8</t>
  </si>
  <si>
    <t>ADDRMAP_COL_B7</t>
  </si>
  <si>
    <t>ADDRMAP_COL_B6</t>
  </si>
  <si>
    <t>3D400000</t>
  </si>
  <si>
    <t>DDRC_INIT6</t>
  </si>
  <si>
    <t>Average interval to wait between automatically issuing ZQCS (ZQ calibration short)/MPC(ZQ calibration) commands to DDR3/DDR4/LPDDR2/LPDDR3/LPDDR4 devices.
Meaningless, if ZQCTL0.dis_auto_zq=1.
Unit: 1024 DFI clock cycles.
This is only present for designs supporting DDR3/DDR4 or LPDDR2/LPDDR3/LPDDR4 devices.
Value After Reset: 0x100
Recommend to set to 32ms to align with DRAM vendor's temperature sensor interval.</t>
  </si>
  <si>
    <r>
      <t xml:space="preserve">Description: Time from the assertion of a read command on the DFI interface to the assertion of the dfi_rddata_en signal.
Refer to PHY specification for correct value.
This corresponds to the DFI parameter trddata_en. Note that, depending on the PHY, if using RDIMM, it may be necessary to use the value (CL + 1) in the calculation of trddata_en. This is to compensate for the extra cycle of latency through the RDIMM.
Unit: Clocks
Value After Reset: 0x2
</t>
    </r>
    <r>
      <rPr>
        <b/>
        <sz val="10"/>
        <color theme="1"/>
        <rFont val="Arial"/>
        <family val="2"/>
      </rPr>
      <t>Per PUB databook, trddata_en = RL-5, where RL is RL (read latency)</t>
    </r>
  </si>
  <si>
    <t>Description: Specifies the number of DFI clock cycles after an assertion or de-assertion of the DFI control signals that the control signals at the PHY-DRAM interface reflect the assertion or de-assertion. If the DFI clock and the memory clock are not phase-aligned, this timing parameter should be rounded up to the next integer value. Note that if using RDIMM/LRDIMM, it is necessary to increment this parameter by RDIMM's/LRDIMM's extra cycle of latency in terms of DFI clock.
Value After Reset: 0x7</t>
  </si>
  <si>
    <t>ctl_idle_en</t>
  </si>
  <si>
    <t>DDRC_INIT7</t>
  </si>
  <si>
    <r>
      <t>Density per chip select (Gb)</t>
    </r>
    <r>
      <rPr>
        <vertAlign val="superscript"/>
        <sz val="10"/>
        <rFont val="Arial"/>
        <family val="2"/>
      </rPr>
      <t>1</t>
    </r>
    <r>
      <rPr>
        <sz val="10"/>
        <rFont val="Arial"/>
        <family val="2"/>
      </rPr>
      <t>:</t>
    </r>
  </si>
  <si>
    <t>ADDRMAP_COL_B5</t>
  </si>
  <si>
    <t>DDRC_ADDRMAP2</t>
  </si>
  <si>
    <t>ADDRMAP_COL_B4</t>
  </si>
  <si>
    <t>ADDRMAP_COL_B3</t>
  </si>
  <si>
    <t>ADDRMAP_COL_B2</t>
  </si>
  <si>
    <t>Reserved for future use. To match existing initialization, write 0x3F to disable this.
Value After Reset: 0x0</t>
  </si>
  <si>
    <t>DDRC_ADDRMAP7</t>
  </si>
  <si>
    <t>ADDRMAP_ROW_B16</t>
  </si>
  <si>
    <t>ADDRMAP_ROW_B17</t>
  </si>
  <si>
    <r>
      <t>Number of BANK GROUP addresses</t>
    </r>
    <r>
      <rPr>
        <vertAlign val="superscript"/>
        <sz val="10"/>
        <rFont val="Arial"/>
        <family val="2"/>
      </rPr>
      <t>2</t>
    </r>
  </si>
  <si>
    <t>Total number of BANKS</t>
  </si>
  <si>
    <t>DDRC_ADDRMAP8</t>
  </si>
  <si>
    <t>ADDRMAP_BG_B0</t>
  </si>
  <si>
    <t>ADDRMAP_BG_B1</t>
  </si>
  <si>
    <t>DDRC_ADDRMAP9</t>
  </si>
  <si>
    <t>ADDRMAP_ROW_B2</t>
  </si>
  <si>
    <t>ADDRMAP_ROW_B3</t>
  </si>
  <si>
    <t>ADDRMAP_ROW_B4</t>
  </si>
  <si>
    <t>ADDRMAP_ROW_5</t>
  </si>
  <si>
    <t>Selects the HIF address bits used as row address bit 5.
Valid Range: 0 to 11
Internal Base: 11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</si>
  <si>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4.
Valid Range: 0 to 11
Internal Base: 10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</si>
  <si>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3.
Valid Range: 0 to 11
Internal Base: 9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</si>
  <si>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2.
Valid Range: 0 to 11
Internal Base: 8
The selected HIF address bit for each of the row address bits is determined by adding the internal base to the value of this field. This register field is used only when ADDRMAP5.addrmap_row_b2_10 is set to value 15.
Value After Reset: 0x0</t>
  </si>
  <si>
    <t>DDRC_ADDRMAP10</t>
  </si>
  <si>
    <t>ADDRMAP_ROW_B6</t>
  </si>
  <si>
    <t>ADDRMAP_ROW_B7</t>
  </si>
  <si>
    <t>ADDRMAP_ROW_B8</t>
  </si>
  <si>
    <t>ADDRMAP_ROW_9</t>
  </si>
  <si>
    <t>Selects the HIF address bits used as row address bit 9.
Valid Range: 0 to 11
Internal Base: 15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</si>
  <si>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8.
Valid Range: 0 to 11
Internal Base: 14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</si>
  <si>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7.
Valid Range: 0 to 11
Internal Base: 13
The selected HIF address bit for each of the row address bits is determined by adding the internal base to the value of this field. This register field is used only when ADDRMAP5.addrmap_row_b2_10 is set to value 15.
Value After Reset: 0x0</t>
  </si>
  <si>
    <t>Selects the HIF address bits used as row address bit 6.
Valid Range: 0 to 11
Internal Base: 12
The selected HIF address bit for each of the row address bits is determined by adding the internal base to the value of this field. This register field is used only when ADDRMAP5.addrmap_row_b2_10 is set to value 15.
Value After Reset: 0x0</t>
  </si>
  <si>
    <t>ADDRMAP_ROW_B10</t>
  </si>
  <si>
    <t>Selects the HIF address bits used as row address bit 10.
Valid Range: 0 to 11
Internal Base: 16
The selected HIF address bit for each of the row address bits is determined by adding the internal base to the value of this field. This register field is used only when ADDRMAP5.addrmap_row_b2_10 is set to value 15.
Value After Reset: 0x0</t>
  </si>
  <si>
    <t>ADDRMAP_CID_B0</t>
  </si>
  <si>
    <t>ADDRMAP_CID_B1</t>
  </si>
  <si>
    <t>Selects the HIF address bit used as chip id bit 0.
Valid Range: 0 to 30
Internal Base: 4
The selected HIF address bit is determined by adding the internal base to the value of this field. If unused, set to 31 and then chip id bit 0 is set to 0.
Value After Reset: 0x0</t>
  </si>
  <si>
    <t>Selects the HIF address bit used as chip id bit 1.
Valid Range: 0 to 30
Internal Base: 5
The selected HIF address bit is determined by adding the internal base to the value of this field. If unused, set to 31 and then chip id bit 1 is set to 0.
Value After Reset: 0x0</t>
  </si>
  <si>
    <t>DDRC_ADDRMAP11</t>
  </si>
  <si>
    <t>rank_dis_refresh</t>
  </si>
  <si>
    <t>refresh_mode</t>
  </si>
  <si>
    <t>refresh_update_level</t>
  </si>
  <si>
    <t>dis_auto_refresh</t>
  </si>
  <si>
    <t>DDRC_RFSHCTL3</t>
  </si>
  <si>
    <t>Disable to send refresh to selected rank(s)
Each bit represents one rank. (LSB is the lowest rank number.)
■0 - Not disable to send refresh to this rank. It still depends on RFSHCTL3.dis_auto_refresh
■1 - Disable to send refresh to this rank</t>
  </si>
  <si>
    <t>Fine Granularity Refresh Mode
■000 - Fixed 1x (Normal mode)
■001 - Fixed 2x
■010 - Fixed 4x
■101 - Enable on the fly 2x (not supported)
■110 - Enable on the fly 4x (not supported)
■Everything else - reserved
Note: This register field has effect only if a DDR4 SDRAM device is in use (MSTR.ddr4 = 1).</t>
  </si>
  <si>
    <t>Toggle this signal (either from 0 to 1 or from 1 to 0) to indicate that the refresh register(s) have been updated.
refresh_update_level must not be toggled when the DDRC is in reset (core_ddrc_rstn = 0).
The refresh register(s) are automatically updated when exiting reset.
Value After Reset: 0x0</t>
  </si>
  <si>
    <t>When '1', disable auto-refresh generated by the uMCTL2. When auto-refresh is disabled, the SoC core must generate refreshes using the registers DBGCMD.rankn_refresh.
When dis_auto_refresh transitions from 0 to 1, any pending refreshes are immediately scheduled by the uMCTL2.
If DDR4 CRC/parity retry is enabled (CRCPARCTL1.crc_parity_retry_enable = 1), disable auto-refresh is not supported, and this bit must be set to '0'.
(DDR4 only) If FGR mode is enabled (RFSHCTL3.refresh_mode &gt; 0), disable auto-refresh is not supported, and this bit must be set to '0'.
This register field is changeable on the fly.
Value After Reset: 0x0</t>
  </si>
  <si>
    <t>dfi_alert_err_cnt_clr</t>
  </si>
  <si>
    <t>dfi_alert_err_int_clr</t>
  </si>
  <si>
    <t>dfi_alert_err_int_en</t>
  </si>
  <si>
    <t>dfi_alert_err_max_reached_int_clr</t>
  </si>
  <si>
    <t>dfi_alert_err_fatl_int_clr</t>
  </si>
  <si>
    <t>retry_ctrlupd_enable</t>
  </si>
  <si>
    <t>retry_ctrlupd_wait</t>
  </si>
  <si>
    <t>Additional wait time after dfi_ctrlupd_req for retry has occurred to ensure PHY's internals (FIFO pointers) have been reset correctly. Value used is 2^retry_ctrlupd_wait. Only used if CRCPARCTL0.retry_ctrlupd_enable is enabled.
Value After Reset: 0x0</t>
  </si>
  <si>
    <t>dfi_ctrlupd_req enable for retry.
■1: Enable to issue dfi_ctrlupd_req before starting retry sequence
■0: Disable to issue dfi_ctrlupd_req before starting retry sequence The DFI controller update can be used to reset PHY FIFO pointers.
If both CRCPARCTL0.retry_cfrlupd_enable and CRCPARCTL1.alert_wait_for_sw are enabled, dfi_ctrlupd_req is issued just before software intervention time.
If CRCPARCTL0.retry_cfrlupd_enable is enabled, dfi_ctrlupd_req will be issued regardless of DFIUPD0.dis_auto_ctrlupd.
Value After Reset: 0x1</t>
  </si>
  <si>
    <t>Interrupt clear bit for DFI alert counter saturation. If this bit is set, the alert error interrupt on CRCPARSTAT.dfi_alert_err_max_reached_int is cleared. When the clear operation is complete, the uMCTL2 automatically clears this bit.
Value After Reset: 0x0</t>
  </si>
  <si>
    <t>Interrupt clear bit for dfi_alert_err_fatl_int. If this bit is set, the alert error interrupt on CRCPARSTAT.dfi_alert_err_fatl_int is cleared. When the clear operation is complete, the uMCTL2 automatically clears this bit.
Value After Reset: 0x0</t>
  </si>
  <si>
    <t>DFI alert error count clear. Clear bit for DFI alert error counter. Asserting this bit will clear the DFI alert error counter, CRCPARSTAT.dfi_alert_err_cnt. When the clear operation is complete, the uMCTL2 automatically clears this bit.
Value After Reset: 0x0</t>
  </si>
  <si>
    <t>Interrupt clear bit for DFI alert error. If this bit is set, the alert error interrupt on CRCPARSTAT.dfi_alert_err_int will be cleared. When the clear operation is complete, the uMCTL2 automatically clears this bit.
Value After Reset: 0x0</t>
  </si>
  <si>
    <t>Interrupt enable bit for DFI alert error. If this bit is set, any parity/CRC error detected on the dfi_alert_n input will result in an interrupt being set on CRCPARSTAT.dfi_alert_err_int.
Value After Reset: 0x0</t>
  </si>
  <si>
    <t>DDRC_CRCPARCTL0</t>
  </si>
  <si>
    <t>DDRC_CRCPARCTL1</t>
  </si>
  <si>
    <t>dfi_t_phy_rdlat</t>
  </si>
  <si>
    <t>retry_add_rd_lat</t>
  </si>
  <si>
    <t>retry_add_rd_lat_en</t>
  </si>
  <si>
    <t>caparity_disable_before_sr</t>
  </si>
  <si>
    <t>alert_wait_for_sw</t>
  </si>
  <si>
    <t>crc_parity_retry_enable</t>
  </si>
  <si>
    <t>crc_inc_dm</t>
  </si>
  <si>
    <t>crc_enable</t>
  </si>
  <si>
    <t>parity_enable</t>
  </si>
  <si>
    <t>C/A Parity enable register
■1: Enable generation of C/A parity and detection of C/A parity error
■0: Disable generation of C/A parity and disable detection of C/A parity error
If RCD's parity error detection or SDRAM's parity detection is enabled, this register should be 1.
Value After Reset: 0x0</t>
  </si>
  <si>
    <t>CRC enable Register
■1: Enable generation of CRC
■0: Disable generation of CRC
The setting of this register should match the CRC mode register setting in the DRAM.
Value After Reset: 0x0</t>
  </si>
  <si>
    <t>CRC Calculation setting register
■1: CRC includes DM signal
■0: CRC not includes DM signal
Present only in designs configured to support DDR4.
Value After Reset: 0x0</t>
  </si>
  <si>
    <t>■1: Enable command retry mechanism in case of C/A Parity or CRC error
■0: Disable command retry mechanism when C/A Parity or CRC features are enabled.
Note that retry functionality is not supported if burst chop is enabled (MSTR.burstchop = 1) and/or disable auto-refresh is enabled (RFSHCTL3.dis_auto_refresh = 1)
Value After Reset: 0x0</t>
  </si>
  <si>
    <t>After a Parity or CRC error is flagged on dfi_alert_n signal, the software has an option to read the mode registers in the DRAM before the hardware begins the retry process
■1: Wait for software to read/write the mode registers before hardware begins the retry. After software is done with its operations, it will clear the alert interrupt register bit
■0: Hardware can begin the retry right away after the dfi_alert_n pulse goes away.
The value on this register is valid only when retry is enabled (CRCPARCTRL.crc_parity_retry_enable = 1)
If this register is set to 1 and if the software doesn't clear the interrupt register after handling the parity/CRC error, then the hardware will not begin the retry process and the system will hang. In the case of Parity/CRC error, there are two possibilities when the software doesn't reset MR5[4] to 0.
- (i) If 'Persistent parity' mode register bit is NOT set: the commands sent during retry and normal operation are executed without parity checking. The value in the Parity error log register MPR Page 1 is valid.
- (ii) If 'Persistent parity' mode register bit is SET: Parity checking is done for commands sent during retry and normal operation. If multiple errors occur before MR5[4] is cleared, the error log in MPR Page 1 should be treated as 'Don't care'.
Value After Reset: 0x1</t>
  </si>
  <si>
    <t>If DDR4-SDRAM's CA parity is enabled by INIT6.mr5[2:0]!=0 and this register is set to 1, CA parity is automatically disabled before Self-Refresh entry and enabled after Self-Refresh exit by issuing MR5.
■1: CA parity is disabled before Self-Refresh entry
■0: CA parity is not disabled before Self-Refresh entry
If Geardown is used by MSTR.geardown_mode=1, this register must be set to 1.
If this register set to 0, DRAMTMG5.t_ckesr and DRAMTMG5.t_cksre must be increased by PL(Parity latency)
Value After Reset: 0x1</t>
  </si>
  <si>
    <t>Retry additional read latency enable. Number of pipeline stages selected is defined as CRCPARCTL1.retry_add_lat+1. Only set if CRCPARCTL1.crc_parity_retry_enable = 1
Value After Reset: 0x0</t>
  </si>
  <si>
    <t>Retry additional read latency value. Delay value used is retry_add_rd_lat+1. Only used if CRCPARCTL1.retry_add_rd_lat_en is enabled.
Selects the number of pipeline stages to dfi_rddata_valid/dfi_rddata/dfi_rddata_dbi before rest of internal uMCTL2 logic observes it.
Required to compensate for fact delay in PHY/PCB for generating dfi_alert_n for retry may be more than the delay in PHY/PCB on read data path.
Recommended settings (in terms of core_ddrc_core_clk):
(Maximum Alert delay through PHY/PCB from erroneous read command including tPAR_UNKNOWN) - (Minimum Read data delay through PHY/PCB from erroneous read command) + (PHY's max granularity of dfi_rddata beats that may be corrupted before erroneous Read)
Note: This calculation depends on various items such as RL, tPAR_ALERT_ON/tPAR_UNKNOWN/RCD/PHY/PCB behavior.
Unit: DFI clock cycles.
Value After Reset: 0x0</t>
  </si>
  <si>
    <t>The maximum time allowed from the assertion of the dfi_rddata_en signal to the assertion of each of the corresponding bits of the dfi_rddata_valid signal.
This corresponds to the DFI timing parameter tphy_rdlat.
Refer to PHY specification for correct value. This value it only used for detecting read data timeout when DDR4 retry is enabled by CRCPARCTL1.crc_parity_retry_enable=1.
When the controller is operating in 1:2 frequency ratio mode, program this to the DFI timing parameter tphy_rdlat/2, and round it up to the next integer value.
Unit: DFI clock cycles.
Value After Reset: "(MEMC_FREQ_RATIO==2) ? 0x10 : 0x20"</t>
  </si>
  <si>
    <r>
      <rPr>
        <b/>
        <sz val="10"/>
        <rFont val="Arial"/>
        <family val="2"/>
      </rPr>
      <t>MR</t>
    </r>
    <r>
      <rPr>
        <sz val="10"/>
        <rFont val="Arial"/>
        <family val="2"/>
      </rPr>
      <t xml:space="preserve">
DDR4 </t>
    </r>
    <r>
      <rPr>
        <b/>
        <sz val="10"/>
        <rFont val="Arial"/>
        <family val="2"/>
      </rPr>
      <t>MR0:</t>
    </r>
    <r>
      <rPr>
        <sz val="10"/>
        <rFont val="Arial"/>
        <family val="2"/>
      </rPr>
      <t xml:space="preserve"> DLL reset</t>
    </r>
  </si>
  <si>
    <r>
      <rPr>
        <b/>
        <sz val="10"/>
        <rFont val="Arial"/>
        <family val="2"/>
      </rPr>
      <t>MR</t>
    </r>
    <r>
      <rPr>
        <sz val="10"/>
        <rFont val="Arial"/>
        <family val="2"/>
      </rPr>
      <t xml:space="preserve">
DDR4 </t>
    </r>
    <r>
      <rPr>
        <b/>
        <sz val="10"/>
        <rFont val="Arial"/>
        <family val="2"/>
      </rPr>
      <t>MR0:</t>
    </r>
    <r>
      <rPr>
        <sz val="10"/>
        <rFont val="Arial"/>
        <family val="2"/>
      </rPr>
      <t xml:space="preserve"> Test mode</t>
    </r>
  </si>
  <si>
    <r>
      <rPr>
        <b/>
        <sz val="10"/>
        <rFont val="Arial"/>
        <family val="2"/>
      </rPr>
      <t>MR</t>
    </r>
    <r>
      <rPr>
        <sz val="10"/>
        <rFont val="Arial"/>
        <family val="2"/>
      </rPr>
      <t xml:space="preserve">
DDR4 </t>
    </r>
    <r>
      <rPr>
        <b/>
        <sz val="10"/>
        <rFont val="Arial"/>
        <family val="2"/>
      </rPr>
      <t>MR0:</t>
    </r>
    <r>
      <rPr>
        <sz val="10"/>
        <rFont val="Arial"/>
        <family val="2"/>
      </rPr>
      <t xml:space="preserve"> CL bit 4</t>
    </r>
  </si>
  <si>
    <r>
      <rPr>
        <b/>
        <sz val="10"/>
        <rFont val="Arial"/>
        <family val="2"/>
      </rPr>
      <t>MR</t>
    </r>
    <r>
      <rPr>
        <sz val="10"/>
        <rFont val="Arial"/>
        <family val="2"/>
      </rPr>
      <t xml:space="preserve">
DDR4 </t>
    </r>
    <r>
      <rPr>
        <b/>
        <sz val="10"/>
        <rFont val="Arial"/>
        <family val="2"/>
      </rPr>
      <t>MR0:</t>
    </r>
    <r>
      <rPr>
        <sz val="10"/>
        <rFont val="Arial"/>
        <family val="2"/>
      </rPr>
      <t xml:space="preserve"> CL bit 3</t>
    </r>
  </si>
  <si>
    <r>
      <rPr>
        <b/>
        <sz val="10"/>
        <rFont val="Arial"/>
        <family val="2"/>
      </rPr>
      <t>MR</t>
    </r>
    <r>
      <rPr>
        <sz val="10"/>
        <rFont val="Arial"/>
        <family val="2"/>
      </rPr>
      <t xml:space="preserve">
DDR4 </t>
    </r>
    <r>
      <rPr>
        <b/>
        <sz val="10"/>
        <rFont val="Arial"/>
        <family val="2"/>
      </rPr>
      <t>MR0:</t>
    </r>
    <r>
      <rPr>
        <sz val="10"/>
        <rFont val="Arial"/>
        <family val="2"/>
      </rPr>
      <t xml:space="preserve"> CL bit 2</t>
    </r>
  </si>
  <si>
    <r>
      <rPr>
        <b/>
        <sz val="10"/>
        <rFont val="Arial"/>
        <family val="2"/>
      </rPr>
      <t>MR</t>
    </r>
    <r>
      <rPr>
        <sz val="10"/>
        <rFont val="Arial"/>
        <family val="2"/>
      </rPr>
      <t xml:space="preserve">
DDR4 </t>
    </r>
    <r>
      <rPr>
        <b/>
        <sz val="10"/>
        <rFont val="Arial"/>
        <family val="2"/>
      </rPr>
      <t>MR0:</t>
    </r>
    <r>
      <rPr>
        <sz val="10"/>
        <rFont val="Arial"/>
        <family val="2"/>
      </rPr>
      <t xml:space="preserve"> CL bit 1</t>
    </r>
  </si>
  <si>
    <r>
      <rPr>
        <b/>
        <sz val="10"/>
        <rFont val="Arial"/>
        <family val="2"/>
      </rPr>
      <t>MR</t>
    </r>
    <r>
      <rPr>
        <sz val="10"/>
        <rFont val="Arial"/>
        <family val="2"/>
      </rPr>
      <t xml:space="preserve">
DDR4 </t>
    </r>
    <r>
      <rPr>
        <b/>
        <sz val="10"/>
        <rFont val="Arial"/>
        <family val="2"/>
      </rPr>
      <t>MR0:</t>
    </r>
    <r>
      <rPr>
        <sz val="10"/>
        <rFont val="Arial"/>
        <family val="2"/>
      </rPr>
      <t xml:space="preserve"> CL bit 0</t>
    </r>
  </si>
  <si>
    <r>
      <rPr>
        <b/>
        <sz val="10"/>
        <rFont val="Arial"/>
        <family val="2"/>
      </rPr>
      <t>MR</t>
    </r>
    <r>
      <rPr>
        <sz val="10"/>
        <rFont val="Arial"/>
        <family val="2"/>
      </rPr>
      <t xml:space="preserve">
DDR4 </t>
    </r>
    <r>
      <rPr>
        <b/>
        <sz val="10"/>
        <rFont val="Arial"/>
        <family val="2"/>
      </rPr>
      <t>MR0:</t>
    </r>
    <r>
      <rPr>
        <sz val="10"/>
        <rFont val="Arial"/>
        <family val="2"/>
      </rPr>
      <t xml:space="preserve"> Burst type</t>
    </r>
  </si>
  <si>
    <r>
      <rPr>
        <b/>
        <sz val="10"/>
        <rFont val="Arial"/>
        <family val="2"/>
      </rPr>
      <t>MR</t>
    </r>
    <r>
      <rPr>
        <sz val="10"/>
        <rFont val="Arial"/>
        <family val="2"/>
      </rPr>
      <t xml:space="preserve">
DDR4 </t>
    </r>
    <r>
      <rPr>
        <b/>
        <sz val="10"/>
        <rFont val="Arial"/>
        <family val="2"/>
      </rPr>
      <t>MR0:</t>
    </r>
    <r>
      <rPr>
        <sz val="10"/>
        <rFont val="Arial"/>
        <family val="2"/>
      </rPr>
      <t xml:space="preserve"> WR/RTP bit 3</t>
    </r>
  </si>
  <si>
    <r>
      <rPr>
        <b/>
        <sz val="10"/>
        <rFont val="Arial"/>
        <family val="2"/>
      </rPr>
      <t>MR</t>
    </r>
    <r>
      <rPr>
        <sz val="10"/>
        <rFont val="Arial"/>
        <family val="2"/>
      </rPr>
      <t xml:space="preserve">
DDR4 </t>
    </r>
    <r>
      <rPr>
        <b/>
        <sz val="10"/>
        <rFont val="Arial"/>
        <family val="2"/>
      </rPr>
      <t>MR0:</t>
    </r>
    <r>
      <rPr>
        <sz val="10"/>
        <rFont val="Arial"/>
        <family val="2"/>
      </rPr>
      <t xml:space="preserve"> WR/RTP bit 2</t>
    </r>
  </si>
  <si>
    <r>
      <rPr>
        <b/>
        <sz val="10"/>
        <rFont val="Arial"/>
        <family val="2"/>
      </rPr>
      <t>MR</t>
    </r>
    <r>
      <rPr>
        <sz val="10"/>
        <rFont val="Arial"/>
        <family val="2"/>
      </rPr>
      <t xml:space="preserve">
DDR4 </t>
    </r>
    <r>
      <rPr>
        <b/>
        <sz val="10"/>
        <rFont val="Arial"/>
        <family val="2"/>
      </rPr>
      <t>MR0:</t>
    </r>
    <r>
      <rPr>
        <sz val="10"/>
        <rFont val="Arial"/>
        <family val="2"/>
      </rPr>
      <t xml:space="preserve"> WR/RTP bit 1</t>
    </r>
  </si>
  <si>
    <r>
      <rPr>
        <b/>
        <sz val="10"/>
        <rFont val="Arial"/>
        <family val="2"/>
      </rPr>
      <t>MR</t>
    </r>
    <r>
      <rPr>
        <sz val="10"/>
        <rFont val="Arial"/>
        <family val="2"/>
      </rPr>
      <t xml:space="preserve">
DDR4 </t>
    </r>
    <r>
      <rPr>
        <b/>
        <sz val="10"/>
        <rFont val="Arial"/>
        <family val="2"/>
      </rPr>
      <t>MR0:</t>
    </r>
    <r>
      <rPr>
        <sz val="10"/>
        <rFont val="Arial"/>
        <family val="2"/>
      </rPr>
      <t xml:space="preserve"> WR/RTP bit 0</t>
    </r>
  </si>
  <si>
    <t>t_xs_fast_x32</t>
  </si>
  <si>
    <t>t_xs_abort_x32</t>
  </si>
  <si>
    <t>t_xs_dll_x32</t>
  </si>
  <si>
    <t>t_xs_x32</t>
  </si>
  <si>
    <t>DDRC_DRAMTMG8</t>
  </si>
  <si>
    <t>DDRC_DRAMTMG9</t>
  </si>
  <si>
    <t>ddr4_wr_preamble</t>
  </si>
  <si>
    <t>t_ccd_s</t>
  </si>
  <si>
    <t>t_rrd_s</t>
  </si>
  <si>
    <t>wr2rd_s</t>
  </si>
  <si>
    <t>Clock Cycle Freq (MHz)</t>
  </si>
  <si>
    <t>3. This is the total DRAM data bus width from the SoC perspective.</t>
  </si>
  <si>
    <t>Number of DDR4 devices per chip select</t>
  </si>
  <si>
    <t>density</t>
  </si>
  <si>
    <r>
      <t>DDR4 Density per Device (Gb)</t>
    </r>
    <r>
      <rPr>
        <vertAlign val="superscript"/>
        <sz val="10"/>
        <rFont val="Arial"/>
        <family val="2"/>
      </rPr>
      <t>2</t>
    </r>
  </si>
  <si>
    <r>
      <rPr>
        <b/>
        <sz val="10"/>
        <color theme="1"/>
        <rFont val="Arial"/>
        <family val="2"/>
      </rPr>
      <t>For DDR4, enter the tRP value in "ns" from the device data sheet speed bin table. DDR4 tRC=tRAS+tRP. When tRP is entered, tRC is automatically calculated.</t>
    </r>
    <r>
      <rPr>
        <sz val="10"/>
        <color theme="1"/>
        <rFont val="Arial"/>
        <family val="2"/>
      </rPr>
      <t xml:space="preserve">
tRC: Minimum time between activates to same bank.
When the controller is operating in 1:2 frequency ratio mode, program this to (tRC/2) and round up to next integer value.
Unit: Clocks.
Value After Reset: 0x14</t>
    </r>
  </si>
  <si>
    <r>
      <rPr>
        <b/>
        <sz val="10"/>
        <color theme="1"/>
        <rFont val="Arial"/>
        <family val="2"/>
      </rPr>
      <t>Note, the user must supply the tRCD (in ns) value from the DRAM data sheet speed bin table.</t>
    </r>
    <r>
      <rPr>
        <sz val="10"/>
        <color theme="1"/>
        <rFont val="Arial"/>
        <family val="2"/>
      </rPr>
      <t xml:space="preserve">
tRCD - tAL: Minimum time from activate to read or write command to same bank.
When the controller is operating in 1:2 frequency ratio mode, program this to ((tRCD - tAL)/2) and round it up to the next integer value.
Minimum value allowed for this register is 1, which implies minimum (tRCD - tAL) value to be 2 when the controller is operating in 1:2 frequency ratio mode.
Unit: Clocks.
Value After Reset: 0x5</t>
    </r>
  </si>
  <si>
    <r>
      <rPr>
        <b/>
        <sz val="10"/>
        <color theme="1"/>
        <rFont val="Arial"/>
        <family val="2"/>
      </rPr>
      <t>Note, the user must supply the tRPpb (in ns) value from the DRAM data sheet speed bin table.</t>
    </r>
    <r>
      <rPr>
        <sz val="10"/>
        <color theme="1"/>
        <rFont val="Arial"/>
        <family val="2"/>
      </rPr>
      <t xml:space="preserve">
tRP: Minimum time from precharge to activate of same bank.
When the controller is operating in 1:1 frequency ratio mode, t_rp should be set to RoundUp(tRP/tCK).
When the controller is operating in 1:2 frequency ratio mode, t_rp should be set to RoundDown(RoundUp(tRP/tCK)/2) + 1.
When the controller is operating in 1:2 frequency ratio mode in LPDDR4, t_rp should be set to RoundUp(RoundUp(tRP/tCK)/2).
Unit: Clocks.
Value After Reset: 0x5</t>
    </r>
  </si>
  <si>
    <t>post_mpsm_gap_x32</t>
  </si>
  <si>
    <t>t_mpx_lh</t>
  </si>
  <si>
    <t>t_mpx_s</t>
  </si>
  <si>
    <t>t_ckmpe</t>
  </si>
  <si>
    <t>DDRC_DRAMTMG11</t>
  </si>
  <si>
    <r>
      <rPr>
        <b/>
        <sz val="10"/>
        <color theme="1"/>
        <rFont val="Arial"/>
        <family val="2"/>
      </rPr>
      <t>For DDR4, set to 0.</t>
    </r>
    <r>
      <rPr>
        <sz val="10"/>
        <color theme="1"/>
        <rFont val="Arial"/>
        <family val="2"/>
      </rPr>
      <t xml:space="preserve">
tCMDCKE: Delay from valid command to CKE input LOW.
</t>
    </r>
    <r>
      <rPr>
        <b/>
        <sz val="10"/>
        <color theme="1"/>
        <rFont val="Arial"/>
        <family val="2"/>
      </rPr>
      <t>Set this to the larger of tESCKE or tCMDCKE</t>
    </r>
    <r>
      <rPr>
        <sz val="10"/>
        <color theme="1"/>
        <rFont val="Arial"/>
        <family val="2"/>
      </rPr>
      <t xml:space="preserve">
When the controller is operating in 1:2 frequency ratio mode, program this to (max(tESCKE, tCMDCKE)/2) and round it up to the next integer value.
Value After Reset: 0x2</t>
    </r>
  </si>
  <si>
    <t xml:space="preserve">memory set </t>
  </si>
  <si>
    <r>
      <rPr>
        <b/>
        <sz val="10"/>
        <rFont val="Arial"/>
        <family val="2"/>
      </rPr>
      <t>MR</t>
    </r>
    <r>
      <rPr>
        <sz val="10"/>
        <rFont val="Arial"/>
        <family val="2"/>
      </rPr>
      <t xml:space="preserve">
LPDDR4 </t>
    </r>
    <r>
      <rPr>
        <b/>
        <sz val="10"/>
        <rFont val="Arial"/>
        <family val="2"/>
      </rPr>
      <t>MR0:</t>
    </r>
    <r>
      <rPr>
        <sz val="10"/>
        <rFont val="Arial"/>
        <family val="2"/>
      </rPr>
      <t xml:space="preserve"> BL (Burst Length)</t>
    </r>
  </si>
  <si>
    <r>
      <rPr>
        <b/>
        <sz val="10"/>
        <rFont val="Arial"/>
        <family val="2"/>
      </rPr>
      <t>EMR</t>
    </r>
    <r>
      <rPr>
        <sz val="10"/>
        <rFont val="Arial"/>
        <family val="2"/>
      </rPr>
      <t xml:space="preserve">
DDR4 </t>
    </r>
    <r>
      <rPr>
        <b/>
        <sz val="10"/>
        <rFont val="Arial"/>
        <family val="2"/>
      </rPr>
      <t>MR1:</t>
    </r>
    <r>
      <rPr>
        <sz val="10"/>
        <rFont val="Arial"/>
        <family val="2"/>
      </rPr>
      <t xml:space="preserve"> DLL Enable</t>
    </r>
  </si>
  <si>
    <r>
      <rPr>
        <b/>
        <sz val="10"/>
        <rFont val="Arial"/>
        <family val="2"/>
      </rPr>
      <t>EMR</t>
    </r>
    <r>
      <rPr>
        <sz val="10"/>
        <rFont val="Arial"/>
        <family val="2"/>
      </rPr>
      <t xml:space="preserve">
DDR4 </t>
    </r>
    <r>
      <rPr>
        <b/>
        <sz val="10"/>
        <rFont val="Arial"/>
        <family val="2"/>
      </rPr>
      <t>MR1:</t>
    </r>
    <r>
      <rPr>
        <sz val="10"/>
        <rFont val="Arial"/>
        <family val="2"/>
      </rPr>
      <t xml:space="preserve"> Output Driver Impedance</t>
    </r>
  </si>
  <si>
    <r>
      <rPr>
        <b/>
        <sz val="10"/>
        <rFont val="Arial"/>
        <family val="2"/>
      </rPr>
      <t>EMR</t>
    </r>
    <r>
      <rPr>
        <sz val="10"/>
        <rFont val="Arial"/>
        <family val="2"/>
      </rPr>
      <t xml:space="preserve">
DDR4 </t>
    </r>
    <r>
      <rPr>
        <b/>
        <sz val="10"/>
        <rFont val="Arial"/>
        <family val="2"/>
      </rPr>
      <t>MR1:</t>
    </r>
    <r>
      <rPr>
        <sz val="10"/>
        <rFont val="Arial"/>
        <family val="2"/>
      </rPr>
      <t xml:space="preserve"> Additive Latency (AL)</t>
    </r>
  </si>
  <si>
    <r>
      <rPr>
        <b/>
        <sz val="10"/>
        <rFont val="Arial"/>
        <family val="2"/>
      </rPr>
      <t>EMR</t>
    </r>
    <r>
      <rPr>
        <sz val="10"/>
        <rFont val="Arial"/>
        <family val="2"/>
      </rPr>
      <t xml:space="preserve">
DDR4 </t>
    </r>
    <r>
      <rPr>
        <b/>
        <sz val="10"/>
        <rFont val="Arial"/>
        <family val="2"/>
      </rPr>
      <t>MR1:</t>
    </r>
    <r>
      <rPr>
        <sz val="10"/>
        <rFont val="Arial"/>
        <family val="2"/>
      </rPr>
      <t xml:space="preserve"> Write Leveling (WL)</t>
    </r>
  </si>
  <si>
    <r>
      <rPr>
        <b/>
        <sz val="10"/>
        <rFont val="Arial"/>
        <family val="2"/>
      </rPr>
      <t>EMR</t>
    </r>
    <r>
      <rPr>
        <sz val="10"/>
        <rFont val="Arial"/>
        <family val="2"/>
      </rPr>
      <t xml:space="preserve">
DDR4 </t>
    </r>
    <r>
      <rPr>
        <b/>
        <sz val="10"/>
        <rFont val="Arial"/>
        <family val="2"/>
      </rPr>
      <t>MR1:</t>
    </r>
    <r>
      <rPr>
        <sz val="10"/>
        <rFont val="Arial"/>
        <family val="2"/>
      </rPr>
      <t xml:space="preserve"> Nominal ODT</t>
    </r>
  </si>
  <si>
    <r>
      <rPr>
        <b/>
        <sz val="10"/>
        <rFont val="Arial"/>
        <family val="2"/>
      </rPr>
      <t>EMR</t>
    </r>
    <r>
      <rPr>
        <sz val="10"/>
        <rFont val="Arial"/>
        <family val="2"/>
      </rPr>
      <t xml:space="preserve">
DDR4 </t>
    </r>
    <r>
      <rPr>
        <b/>
        <sz val="10"/>
        <rFont val="Arial"/>
        <family val="2"/>
      </rPr>
      <t>MR1:</t>
    </r>
    <r>
      <rPr>
        <sz val="10"/>
        <rFont val="Arial"/>
        <family val="2"/>
      </rPr>
      <t xml:space="preserve"> Termination Data Strobe (TDQS)</t>
    </r>
  </si>
  <si>
    <r>
      <rPr>
        <b/>
        <sz val="10"/>
        <rFont val="Arial"/>
        <family val="2"/>
      </rPr>
      <t>EMR</t>
    </r>
    <r>
      <rPr>
        <sz val="10"/>
        <rFont val="Arial"/>
        <family val="2"/>
      </rPr>
      <t xml:space="preserve">
DDR4 </t>
    </r>
    <r>
      <rPr>
        <b/>
        <sz val="10"/>
        <rFont val="Arial"/>
        <family val="2"/>
      </rPr>
      <t>MR1:</t>
    </r>
    <r>
      <rPr>
        <sz val="10"/>
        <rFont val="Arial"/>
        <family val="2"/>
      </rPr>
      <t xml:space="preserve"> Data output disable (Qoff) - Output buffer disable</t>
    </r>
  </si>
  <si>
    <t>DDRC MR and EMR:
DDR4 MR0 and MR1 Register Settings</t>
  </si>
  <si>
    <t>Mode register programming</t>
  </si>
  <si>
    <t>DDR4 MR2 and MR3 Register Settings</t>
  </si>
  <si>
    <t>#      Note, though the extension of this file implies use with the DS5 debugger,</t>
  </si>
  <si>
    <t xml:space="preserve">#      the file is meant specifically for the DDR Stress Test GUI tool. </t>
  </si>
  <si>
    <t>#      It contains data commands which are not compatible with the DS5 debugger,</t>
  </si>
  <si>
    <t>#      trying to use this file with DS5 will result in errors.</t>
  </si>
  <si>
    <t>#      There are currently no plans to create a DS5 JTAG DRAM initialization script.</t>
  </si>
  <si>
    <t>#</t>
  </si>
  <si>
    <t># DCD command:</t>
  </si>
  <si>
    <t># CMD_WRITE_DATA: memory set ADDR BITWIDTH VALUE                 : *ADDR = VALUE</t>
  </si>
  <si>
    <t># CMD_SET_BIT:    memory setbit ADDR BITWIDTH VALUE              : *ADDR = *ADDR | VALUE</t>
  </si>
  <si>
    <t># CMD_CLR_BIT:    memory clrbit ADDR BITWIDTH VALUE              : *ADDR = *ADDR &amp;~ VALUE</t>
  </si>
  <si>
    <t># CMD_CHECK_BIT_SET:  memory chkbit1 ADDR BITWIDTH VALUE         : while((*ADDR &amp; VALUE) != VALUE){}</t>
  </si>
  <si>
    <t># CMD_CHECK_BIT_CLR:  memory chkbit0 ADDR BITWIDTH VALUE         : while((*ADDR &amp; VALUE) != 0){}</t>
  </si>
  <si>
    <t>###########################################################################################################</t>
  </si>
  <si>
    <t>################step 1: DDR clock configuration################</t>
  </si>
  <si>
    <t>memory set</t>
  </si>
  <si>
    <t>0x3038A088</t>
  </si>
  <si>
    <t>0x07070000</t>
  </si>
  <si>
    <t>#CCM_TARGET_ROOT_CLR(DRAM_APB_CLK_ROOT)</t>
  </si>
  <si>
    <t>0x3038A084</t>
  </si>
  <si>
    <t>0x04030000</t>
  </si>
  <si>
    <t>#CCM_TARGET_ROOT_SET(DRAM_APB_CLK_ROOT):MUX=4(system_pll1_800M_clk), PRE_PODF=3 //DRAM_APB_CLK=800/4=200MHz</t>
  </si>
  <si>
    <t>#disable the clock gating</t>
  </si>
  <si>
    <t>0x303A00EC</t>
  </si>
  <si>
    <t>0x0000FFFF</t>
  </si>
  <si>
    <t>#PGC_CPU_MAPPING</t>
  </si>
  <si>
    <t>memory setbit</t>
  </si>
  <si>
    <t>0x303A00F8</t>
  </si>
  <si>
    <t>0x20</t>
  </si>
  <si>
    <t>#GPC_PU_PGC_SW_PUP_REQ: DDR1_SW_PUP_REQ=1</t>
  </si>
  <si>
    <t>0x30391000</t>
  </si>
  <si>
    <t>0x30391004</t>
  </si>
  <si>
    <t>#DRAM_PLL_CONFIG</t>
  </si>
  <si>
    <t>memory chkbit1</t>
  </si>
  <si>
    <t>0x80000000</t>
  </si>
  <si>
    <t>################step2: DDRC configuration ################</t>
  </si>
  <si>
    <t>0x3d400304</t>
  </si>
  <si>
    <t>#DDRC_DBG1: dis_dq=1, indicates no reads or writes are issued to SDRAM</t>
  </si>
  <si>
    <t>0x3d400030</t>
  </si>
  <si>
    <t>#DDRC_PWRCTL: selfref_en=1, SDRAM enter self-refresh state</t>
  </si>
  <si>
    <t>0x3D400000</t>
  </si>
  <si>
    <t>0x3D400030</t>
  </si>
  <si>
    <t>0x3D400034</t>
  </si>
  <si>
    <t>0x3D400050</t>
  </si>
  <si>
    <t>0x3D400054</t>
  </si>
  <si>
    <t>0x3D400060</t>
  </si>
  <si>
    <t>0x3D400064</t>
  </si>
  <si>
    <t>0x3D4000C0</t>
  </si>
  <si>
    <t>0x3D4000C4</t>
  </si>
  <si>
    <t>#DDRC_MSTR</t>
  </si>
  <si>
    <t>#DDRC_PWRCTL</t>
  </si>
  <si>
    <t>#DDRC_PWRTMG</t>
  </si>
  <si>
    <t>#DDRC_RFSHCTL0</t>
  </si>
  <si>
    <t>#DDRC_RFSHCTL1</t>
  </si>
  <si>
    <t>#DDRC_RFSHCTL3</t>
  </si>
  <si>
    <t>#DDRC_RFSHTMG</t>
  </si>
  <si>
    <t>#DDRC_CRCPARCTL0</t>
  </si>
  <si>
    <t>#DDRC_CRCPARCTL1</t>
  </si>
  <si>
    <t>mr_wr</t>
  </si>
  <si>
    <t>pba_mode</t>
  </si>
  <si>
    <t>mr_cid</t>
  </si>
  <si>
    <t>mr_addr</t>
  </si>
  <si>
    <t>mr_rank</t>
  </si>
  <si>
    <t>sw_init_int</t>
  </si>
  <si>
    <t>pda_en</t>
  </si>
  <si>
    <t>mpr_en</t>
  </si>
  <si>
    <t>mr_type</t>
  </si>
  <si>
    <t>Setting this register bit to 1 triggers a mode register read or write operation. When the MR operation is complete, the uMCTL2 automatically clears this bit. The other register fields of this register must be written in a separate APB transaction, before setting this mr_wr bit. It is recommended NOT to set this signal if in Init, Deep power-down or MPSM operating modes.
Value After Reset: 0x0</t>
  </si>
  <si>
    <t>Indicates whether PBA access is executed. When setting this bit to 1 along with setting pda_en to 1, uMCTL2 initiates PBA access instead of PDA access.
■0 - Per DRAM Addressability mode
■1 - Per Buffer Addressability mode
The completion of PBA access is confirmed by MRSTAT.pda_done in the same way as PDA.
Value After Reset: 0x0</t>
  </si>
  <si>
    <t>Chip ID value for Read/Write command during MPR access (DDR4 3DS).
This register must be set to 0 when DDR4 3DS feature is not used.
This register must be set up while the controller is in reset.
Value After Reset: 0x0</t>
  </si>
  <si>
    <t>Address of the mode register that is to be written to.
■0000 - MR0
■0001 - MR1
■0010 - MR2
■0011 - MR3
■0100 - MR4
■0101 - MR5
■0110 - MR6
■0111 - MR7
Don't Care for LPDDR2/LPDDR3/LPDDR4 (see MRCTRL1.mr_data for mode register addressing in LPDDR2/LPDDR3/LPDDR4)
This signal is also used for writing to control words of the register chip on RDIMMs/LRDIMMs. In that case, it corresponds to the bank address bits sent to the RDIMM/LRDIMM
In case of DDR4, the bit[3:2] corresponds to the bank group bits. Therefore, the bit[3] as well as the bit[2:0] must be set to an appropriate value which is considered both the Address Mirroring of UDIMMs/RDIMMs/LRDIMMs and the Output Inversion of RDIMMs/LRDIMMs.
Value After Reset: 0x0</t>
  </si>
  <si>
    <t>Controls which rank is accessed by MRCTRL0.mr_wr. Normally, it is desired to access all ranks, so all bits should be set to 1. However, for multi-rank UDIMMs/RDIMMs/LRDIMMs which implement address mirroring, it may be necessary to access ranks individually.
Examples (assume uMCTL2 is configured for 4 ranks):
■0x1 - select rank 0 only
■0x2 - select rank 1 only
■0x5 - select ranks 0 and 2
■0xA - select ranks 1 and 3
■0xF - select ranks 0, 1, 2 and 3
Value After Reset: "(MEMC_NUM_RANKS==4) ? 0xF :((MEMC_NUM_RANKS==2) ? 0x3 : 0x1)"</t>
  </si>
  <si>
    <t>Indicates whether Software intervention is allowed via MRCTRL0/MRCTRL1 before automatic SDRAM initialization routine or not.
For DDR4, this bit can be used to initialize the DDR4 RCD (MR7) before automatic SDRAM initialization.
For LPDDR4, this bit can be used to program additional mode registers before automatic SDRAM initialization if necessary.
In LPDDR4 dual channel mode, note that this must be programmed to both channels beforehand.
Note that this must be cleared to 0 after completing Software operation. Otherwise, SDRAM initialization routine will not re-start.
■0 - Software intervention is not allowed
■1 - Software intervention is allowed
Value After Reset: 0x0</t>
  </si>
  <si>
    <t>Indicates whether the mode register operation is MRS in PDA mode or not
■0 - MRS
■1 - MRS in Per DRAM Addressability mode
Note that when pba_mode=1, PBA access is initiated instead of PDA access.
Value After Reset: 0x0</t>
  </si>
  <si>
    <t>Indicates whether the mode register operation is MRS or WR/RD for MPR (only supported for DDR4)
■0 - MRS
■1 - WR/RD for MPR
Value After Reset: 0x0</t>
  </si>
  <si>
    <t>Indicates whether the mode register operation is read or write. Only used for LPDDR2/LPDDR3/LPDDR4/DDR4.
■0 - Write
■1 - Read
Value After Reset: 0x0</t>
  </si>
  <si>
    <t>mr_data</t>
  </si>
  <si>
    <t>Mode register write data for all non-LPDDR2/non-LPDDR3/non-LPDDR4 modes.
For LPDDR2/LPDDR3/LPDDR4, MRCTRL1[15:0] are interpreted as
[15:8] MR Address
[7:0] MR data for writes, don't care for reads. This is 18-bits wide in configurations with DDR4 support and 16-bits in all other configurations.
Value After Reset: 0x0</t>
  </si>
  <si>
    <t>DDRC_MRCTRL0</t>
  </si>
  <si>
    <t>DDRC_MRCTRL1</t>
  </si>
  <si>
    <t>mr_device_sel</t>
  </si>
  <si>
    <t>DDRC_MRCTRL2</t>
  </si>
  <si>
    <t>Indicates the device(s) to be selected during the MRS that happens in PDA mode. Each bit is associated with one device. For example, bit[0] corresponds to Device 0, bit[1] to Device 1 etc.
A '1' should be programmed to indicate that the MRS command should be applied to that device.
A '0' indicates that the MRS commands should be skipped for that device.
Value After Reset: 0x0</t>
  </si>
  <si>
    <t>lpddr4_sr_allowed</t>
  </si>
  <si>
    <t>Indicates whether transition from SR-PD to SR and back to SR-PD is allowed.
This register field cannot be modified while PWRCTL.selfref_sw==1.
■0 - SR-PD -&gt; SR -&gt; SR-PD not allowed
■1 - SR-PD -&gt; SR -&gt; SR-PD allowed
Value After Reset: 0x0</t>
  </si>
  <si>
    <t>DDRC_PWRCTL</t>
  </si>
  <si>
    <t>dis_cam_drain_selfref</t>
  </si>
  <si>
    <t>Indicates whether skipping CAM draining is allowed when entering Self-Refresh.
This register field cannot be modified while PWRCTL.selfref_sw==1.
■0 - CAMs must be empty before entering SR
■1 - CAMs are not emptied before entering SR
Value After Reset: 0x0</t>
  </si>
  <si>
    <t>stay_in_selfref</t>
  </si>
  <si>
    <t>Self refresh state is an intermediate state to enter to Self refresh power down state or exit Self refresh power down state for LPDDR4.
This register controls transition from the Self refresh state.
■1 - Prohibit transition from Self refresh state
■0 - Allow transition from Self refresh state
Value After Reset: 0x0</t>
  </si>
  <si>
    <t>selfref_sw</t>
  </si>
  <si>
    <t>A value of 1 to this register causes system to move to Self Refresh state immediately, as long as it is not in INIT or DPD/MPSM operating_mode. This is referred to as Software Entry/Exit to Self Refresh.
■1 - Software Entry to Self Refresh
■0 - Software Exit from Self Refresh
Value After Reset: 0x0</t>
  </si>
  <si>
    <t>mpsm_en</t>
  </si>
  <si>
    <t>When this is 1, the uMCTL2 puts the SDRAM into maximum power saving mode when the transaction store is empty.
This register must be reset to '0' to bring uMCTL2 out of maximum power saving mode.
Present only in designs configured to support DDR4. For non-DDR4, this register should not be set to 1.
Note that MPSM is not supported when using a Synopsys DWC DDR PHY, if the PHY parameter DWC_AC_CS_USE is disabled, as the MPSM exit sequence requires the chip-select signal to toggle.
FOR PERFORMANCE ONLY.
Value After Reset: 0x0</t>
  </si>
  <si>
    <t>en_dfi_dram_clk_disable</t>
  </si>
  <si>
    <t>Enable the assertion of dfi_dram_clk_disable whenever a clock is not required by the SDRAM.
If set to 0, dfi_dram_clk_disable is never asserted.
Assertion of dfi_dram_clk_disable is as follows:
In DDR2/DDR3, can only be asserted in Self Refresh.
In DDR4, can be asserted in following:
■in Self Refresh.
■in Maximum Power Saving Mode
In mDDR/LPDDR2/LPDDR3, can be asserted in following:
■in Self Refresh
■in Power Down
■in Deep Power Down
■during Normal operation (Clock Stop)
In LPDDR4, can be asserted in following:
■in Self Refresh Power Down
■in Power Down
■during Normal operation (Clock Stop)
Value After Reset: 0x0</t>
  </si>
  <si>
    <t>deeppowerdown_en</t>
  </si>
  <si>
    <t>When this is 1, uMCTL2 puts the SDRAM into deep power-down mode when the transaction store is empty.
This register must be reset to '0' to bring uMCTL2 out of deep power-down mode. Controller performs automatic SDRAM initialization on deep power-down exit.
Present only in designs configured to support mDDR or LPDDR2 or LPDDR3. For non-mDDR/non-LPDDR2/non-LPDDR3, this register should not be set to 1.
FOR PERFORMANCE ONLY.
Value After Reset: 0x0</t>
  </si>
  <si>
    <t>powerdown_en</t>
  </si>
  <si>
    <t>If true then the uMCTL2 goes into power-down after a programmable number of cycles "maximum idle clocks before power down" (PWRTMG.powerdown_to_x32).
This register bit may be re-programmed during the course of normal operation.
Value After Reset: 0x0</t>
  </si>
  <si>
    <t>selfref_en</t>
  </si>
  <si>
    <t>If true then the uMCTL2 puts the SDRAM into Self Refresh after a programmable number of cycles "maximum idle clocks before Self Refresh (PWRTMG.selfref_to_x32)". This register bit may be re-programmed during the course of normal operation.
Value After Reset: 0x0</t>
  </si>
  <si>
    <t>DDRC_PWRTMG</t>
  </si>
  <si>
    <t>powerdown_to_x32</t>
  </si>
  <si>
    <t>t_dpd_x4096</t>
  </si>
  <si>
    <t>selfref_to_x32</t>
  </si>
  <si>
    <t>DDRC_HWLPCTL</t>
  </si>
  <si>
    <t>hw_lp_idle_x32</t>
  </si>
  <si>
    <t>hw_lp_exit_idle_en</t>
  </si>
  <si>
    <t>hw_lp_en</t>
  </si>
  <si>
    <t>Enable for Hardware Low Power Interface.
Value After Reset: 0x1</t>
  </si>
  <si>
    <t>When this bit is programmed to 1 the cactive_in_ddrc pin of the DDRC can be used to exit from the automatic clock stop, automatic power down or automatic self-refresh modes. Note, it will not cause exit of Self-Refresh that was caused by Hardware Low Power Interface and/or Software (PWRCTL.selfref_sw).
Value After Reset: 0x1</t>
  </si>
  <si>
    <t>Hardware idle period. The cactive_ddrc output is driven low if the DDRC command channel is idle for hw_lp_idle * 32 cycles if not in INIT or DPD/MPSM operating_mode. The DDRC command channel is considered idle when there are no HIF commands outstanding. The hardware idle function is disabled when hw_lp_idle_x32=0.
Unit: Multiples of 32 DFI clocks.
FOR PERFORMANCE ONLY.
Value After Reset: 0x0</t>
  </si>
  <si>
    <t>After this many clocks of the DDRC command channel being idle the uMCTL2 automatically puts the SDRAM into Self Refresh. The DDRC command channel is considered idle when there are no HIF commands outstanding. This must be enabled in the PWRCTL.selfref_en.
Unit: Multiples of 32 DFI clocks.
FOR PERFORMANCE ONLY.
Value After Reset: 0x40</t>
  </si>
  <si>
    <t>Minimum deep power-down time.
For mDDR, value from the JEDEC specification is 0 as mDDR exits from deep power-down mode immediately after PWRCTL.deeppowerdown_en is de-asserted.
For LPDDR2/LPDDR3, value from the JEDEC specification is 500us.
Unit: Multiples of 4096 DFI clocks.
Present only in designs configured to support mDDR, LPDDR2 or LPDDR3.
FOR PERFORMANCE ONLY.
Value After Reset: "(MEMC_MOBILE_OR_LPDDR2_EN) ? 0x20 : 0x0"</t>
  </si>
  <si>
    <t>After this many clocks of the DDRC command channel being idle the uMCTL2 automatically puts the SDRAM into power-down. The DDRC command channel is considered idle when there are no HIF commands outstanding. This must be enabled in the PWRCTL.powerdown_en.
Unit: Multiples of 32 DFI clocks
FOR PERFORMANCE ONLY.
Value After Reset: 0x10</t>
  </si>
  <si>
    <t>DDRC_HWFFCCTL</t>
  </si>
  <si>
    <t>target_vrcg</t>
  </si>
  <si>
    <t>init_vrcg</t>
  </si>
  <si>
    <t>init_fsp</t>
  </si>
  <si>
    <t>hwffc_en</t>
  </si>
  <si>
    <t>Set target value of VRCG (MR13 OP[3]). This field value is used when HWFFC request has been issued.
Value After Reset: 0x0
Exists: UMCTL2_HWFFC_EN==1</t>
  </si>
  <si>
    <t>Set initial value of VRCG (MR13 OP[3]). This field value is used when HWFFCCTL.hwffc_en has been changed to 11.
Value After Reset: 0x0
Exists: UMCTL2_HWFFC_EN==1</t>
  </si>
  <si>
    <t>Set initial value of FSP-OP (MR13 OP[7]). This field value is used when HWFFCCTL.hwffc_en has been changed to 11.
Value After Reset: 0x1
Exists: UMCTL2_HWFFC_EN==1</t>
  </si>
  <si>
    <t>Enable HWFFC through Hardware Low Power Interface. The other fields of this register is used only when changing this field to 11.
■00 - Disable HWFFC
■10 - Intermediate, set only when disabling HWFFC
■11 - Enable HWFFC
■01 - Not allowed
Value After Reset: 0x0</t>
  </si>
  <si>
    <t>DDRC_RFSHCTL1</t>
  </si>
  <si>
    <t>refresh_timer1_start_value_x32</t>
  </si>
  <si>
    <t>refresh_timer0_start_value_x32</t>
  </si>
  <si>
    <t>Refresh timer start for rank 0 (only present in multi-rank configurations). This is useful in staggering the refreshes to multiple ranks to help traffic to proceed. This is explained in Refresh Controls section of architecture chapter.
Unit: Multiples of 32 DFI clock cycles.
FOR PERFORMANCE ONLY.
Value After Reset: 0x0</t>
  </si>
  <si>
    <t>Refresh timer start for rank 1 (only present in multi-rank configurations). This is useful in staggering the refreshes to multiple ranks to help traffic to proceed. This is explained in Refresh Controls section of architecture chapter.
Unit: Multiples of 32 DFI clock cycles.
FOR PERFORMANCE ONLY.
Value After Reset: 0x0</t>
  </si>
  <si>
    <t>0x3D4000D0</t>
  </si>
  <si>
    <t>0x3D4000D4</t>
  </si>
  <si>
    <t>0x3D4000DC</t>
  </si>
  <si>
    <t>0x3D4000E0</t>
  </si>
  <si>
    <t>0x3D4000E4</t>
  </si>
  <si>
    <t>0x3D4000E8</t>
  </si>
  <si>
    <t>0x3D4000EC</t>
  </si>
  <si>
    <t>0x3D4000F0</t>
  </si>
  <si>
    <t>0x3D4000F4</t>
  </si>
  <si>
    <t>#DDRC_INIT0</t>
  </si>
  <si>
    <t>#DDRC_INIT1</t>
  </si>
  <si>
    <t>#DDRC_INIT3</t>
  </si>
  <si>
    <t>#DDRC_INIT4</t>
  </si>
  <si>
    <t>#DDRC_INIT5</t>
  </si>
  <si>
    <t>#DDRC_INIT6</t>
  </si>
  <si>
    <t>#DDRC_INIT7</t>
  </si>
  <si>
    <t>#DDRC_RANKCTL</t>
  </si>
  <si>
    <r>
      <rPr>
        <b/>
        <sz val="10"/>
        <color theme="1"/>
        <rFont val="Arial"/>
        <family val="2"/>
      </rPr>
      <t>Note, this field is updated automatically and it is not recommended to manually configure it.</t>
    </r>
    <r>
      <rPr>
        <sz val="10"/>
        <color theme="1"/>
        <rFont val="Arial"/>
        <family val="2"/>
      </rPr>
      <t xml:space="preserve">
This parameter is not used in DDR4, hence recommend to leave it at the default value provided here.
Cycles to wait after driving CKE high to start the SDRAM initialization sequence.
Unit: 1024 DFI clock cycles.
DDR2 typically requires a 400 ns delay, requiring this value to be programmed to 2 at all clock speeds.
LPDDR2/LPDDR3 typically requires this to be programmed for a delay of 200 us.
LPDDR4 typically requires this to be programmed for a delay of 2 us.
When the controller is operating in 1:2 frequency ratio mode, program this to JEDEC spec value divided by 2, and round it up to the next integer value.
Each settings give a range as follows:
0: no delay
1: 1 to 1024 cycle delay
2: 1025 to 2048 cycle delay
3: 2048 to 3072 cycle delay
4: 3073 to 4096 cycle delay
5: 4097 to 5120 cycle delay
and so on.
Hence, we need to select a value that meets/exceeds the min value for each range, therefore, we add 1 to the value calculated.
Value After Reset: 0x2</t>
    </r>
  </si>
  <si>
    <r>
      <rPr>
        <b/>
        <sz val="10"/>
        <rFont val="Arial"/>
        <family val="2"/>
      </rPr>
      <t>EMR2</t>
    </r>
    <r>
      <rPr>
        <sz val="10"/>
        <rFont val="Arial"/>
        <family val="2"/>
      </rPr>
      <t xml:space="preserve">
DDR4 </t>
    </r>
    <r>
      <rPr>
        <b/>
        <sz val="10"/>
        <rFont val="Arial"/>
        <family val="2"/>
      </rPr>
      <t xml:space="preserve">MR2: </t>
    </r>
    <r>
      <rPr>
        <sz val="10"/>
        <rFont val="Arial"/>
        <family val="2"/>
      </rPr>
      <t>Write data bus CRC</t>
    </r>
  </si>
  <si>
    <r>
      <t xml:space="preserve">WRITE data bus CRC
</t>
    </r>
    <r>
      <rPr>
        <sz val="10"/>
        <rFont val="Arial"/>
        <family val="2"/>
      </rPr>
      <t>0 = Disabled
1 = Enabled</t>
    </r>
  </si>
  <si>
    <r>
      <rPr>
        <b/>
        <sz val="10"/>
        <rFont val="Arial"/>
        <family val="2"/>
      </rPr>
      <t>EMR2</t>
    </r>
    <r>
      <rPr>
        <sz val="10"/>
        <rFont val="Arial"/>
        <family val="2"/>
      </rPr>
      <t xml:space="preserve">
DDR4 </t>
    </r>
    <r>
      <rPr>
        <b/>
        <sz val="10"/>
        <rFont val="Arial"/>
        <family val="2"/>
      </rPr>
      <t xml:space="preserve">MR2: </t>
    </r>
    <r>
      <rPr>
        <sz val="10"/>
        <rFont val="Arial"/>
        <family val="2"/>
      </rPr>
      <t>Dynamic ODT (RTT(WR))</t>
    </r>
  </si>
  <si>
    <r>
      <t xml:space="preserve">Dynamic ODT (RTT(WR)) – Data bus termination setting during WRITEs
</t>
    </r>
    <r>
      <rPr>
        <sz val="10"/>
        <rFont val="Arial"/>
        <family val="2"/>
      </rPr>
      <t>000 = RTT(WR) disabled (WRITE does not affect RTT value)
001 = RZQ/2 (120 ohm)
010 = RZQ/1 (240 ohm)
011 = High-Z
100 = RZQ/3 (80 ohm)
101 = Reserved
110 = Reserved
111 = Reserved</t>
    </r>
  </si>
  <si>
    <r>
      <t xml:space="preserve">EMR2
</t>
    </r>
    <r>
      <rPr>
        <sz val="10"/>
        <rFont val="Arial"/>
        <family val="2"/>
      </rPr>
      <t>DDR4</t>
    </r>
    <r>
      <rPr>
        <b/>
        <sz val="10"/>
        <rFont val="Arial"/>
        <family val="2"/>
      </rPr>
      <t xml:space="preserve"> MR2: </t>
    </r>
    <r>
      <rPr>
        <sz val="10"/>
        <rFont val="Arial"/>
        <family val="2"/>
      </rPr>
      <t>Low-power auto self refresh (LPASR)</t>
    </r>
  </si>
  <si>
    <r>
      <t xml:space="preserve">Low-power auto self refresh (LPASR) – Mode summary
</t>
    </r>
    <r>
      <rPr>
        <sz val="10"/>
        <rFont val="Arial"/>
        <family val="2"/>
      </rPr>
      <t>00 = Manual mode - Normal operating temperature range (TC: 0°C–85°C)
01 = Manual mode - Reduced operating temperature range (TC: 0°C–45°C)
10 = Manual mode - Extended operating temperature range (TC: 0°C–95°C)
11 = ASR mode - Automatically switching among all modes</t>
    </r>
  </si>
  <si>
    <r>
      <rPr>
        <b/>
        <sz val="10"/>
        <rFont val="Arial"/>
        <family val="2"/>
      </rPr>
      <t>EMR2</t>
    </r>
    <r>
      <rPr>
        <sz val="10"/>
        <rFont val="Arial"/>
        <family val="2"/>
      </rPr>
      <t xml:space="preserve">
DDR4 </t>
    </r>
    <r>
      <rPr>
        <b/>
        <sz val="10"/>
        <rFont val="Arial"/>
        <family val="2"/>
      </rPr>
      <t xml:space="preserve">MR2: </t>
    </r>
    <r>
      <rPr>
        <sz val="10"/>
        <rFont val="Arial"/>
        <family val="2"/>
      </rPr>
      <t>CAS WRITE latency (CWL)</t>
    </r>
  </si>
  <si>
    <r>
      <t xml:space="preserve">CAS WRITE latency (CWL) – Delay in clock cycles from the internal WRITE command to first data-in - 1tCK WRITE preamble
</t>
    </r>
    <r>
      <rPr>
        <sz val="10"/>
        <rFont val="Arial"/>
        <family val="2"/>
      </rPr>
      <t>000 = 9 (DDR4-1600)1
001 = 10 (DDR4-1866)
010 = 11 (DDR4-2133/1600)1
011 = 12 (DDR4-2400/1866)
100 = 14 (DDR4-2666/2133)
101 = 16 (DDR4-2933,3200/2400)
110 = 18 (DDR4-2666)
111 = 20 (DDR4-2933, 3200)</t>
    </r>
    <r>
      <rPr>
        <b/>
        <sz val="10"/>
        <rFont val="Arial"/>
        <family val="2"/>
      </rPr>
      <t xml:space="preserve">
CAS WRITE latency (CWL) – Delay in clock cycles from the internal WRITE command to first data-in - 2tCK WRITE preamble
</t>
    </r>
    <r>
      <rPr>
        <sz val="10"/>
        <rFont val="Arial"/>
        <family val="2"/>
      </rPr>
      <t>000 = N/A
001 = N/A
010 = N/A
011 = N/A
100 = 14 (DDR4-2400)
101 = 16 (DDR4-2666/2400)
110 = 18 (DDR4-2933, 3200/2666)
111 = 20 (DDR4-2933, 3200)</t>
    </r>
  </si>
  <si>
    <r>
      <rPr>
        <b/>
        <sz val="10"/>
        <rFont val="Arial"/>
        <family val="2"/>
      </rPr>
      <t>EMR3</t>
    </r>
    <r>
      <rPr>
        <sz val="10"/>
        <rFont val="Arial"/>
        <family val="2"/>
      </rPr>
      <t xml:space="preserve">
DDR4 </t>
    </r>
    <r>
      <rPr>
        <b/>
        <sz val="10"/>
        <rFont val="Arial"/>
        <family val="2"/>
      </rPr>
      <t xml:space="preserve">MR3: </t>
    </r>
    <r>
      <rPr>
        <sz val="10"/>
        <rFont val="Arial"/>
        <family val="2"/>
      </rPr>
      <t>Multipurpose register (MPR)</t>
    </r>
  </si>
  <si>
    <r>
      <t xml:space="preserve">Multipurpose register (MPR) – Read format
</t>
    </r>
    <r>
      <rPr>
        <sz val="10"/>
        <rFont val="Arial"/>
        <family val="2"/>
      </rPr>
      <t>00 = Serial
01 = Parallel
10 = Staggered
11 = Reserved</t>
    </r>
  </si>
  <si>
    <r>
      <rPr>
        <b/>
        <sz val="10"/>
        <rFont val="Arial"/>
        <family val="2"/>
      </rPr>
      <t>EMR3</t>
    </r>
    <r>
      <rPr>
        <sz val="10"/>
        <rFont val="Arial"/>
        <family val="2"/>
      </rPr>
      <t xml:space="preserve">
DDR4 </t>
    </r>
    <r>
      <rPr>
        <b/>
        <sz val="10"/>
        <rFont val="Arial"/>
        <family val="2"/>
      </rPr>
      <t>MR3:</t>
    </r>
    <r>
      <rPr>
        <sz val="10"/>
        <rFont val="Arial"/>
        <family val="2"/>
      </rPr>
      <t xml:space="preserve"> WRITE CMD latency when CRC/DM enabled</t>
    </r>
  </si>
  <si>
    <r>
      <t xml:space="preserve">WRITE CMD latency when CRC/DM enabled
</t>
    </r>
    <r>
      <rPr>
        <sz val="10"/>
        <rFont val="Arial"/>
        <family val="2"/>
      </rPr>
      <t>00 = 4CK (DDR4-1600)
01 = 5CK (DDR4-1866/2133/2400/2666)
10 = 6CK (DDR4-2933/3200)
11 = Reserved</t>
    </r>
  </si>
  <si>
    <r>
      <rPr>
        <b/>
        <sz val="10"/>
        <rFont val="Arial"/>
        <family val="2"/>
      </rPr>
      <t>EMR3</t>
    </r>
    <r>
      <rPr>
        <sz val="10"/>
        <rFont val="Arial"/>
        <family val="2"/>
      </rPr>
      <t xml:space="preserve">
DDR4 </t>
    </r>
    <r>
      <rPr>
        <b/>
        <sz val="10"/>
        <rFont val="Arial"/>
        <family val="2"/>
      </rPr>
      <t>MR3:</t>
    </r>
    <r>
      <rPr>
        <sz val="10"/>
        <rFont val="Arial"/>
        <family val="2"/>
      </rPr>
      <t xml:space="preserve"> Fine granularity refresh mod</t>
    </r>
  </si>
  <si>
    <r>
      <t xml:space="preserve">Fine granularity refresh mode
</t>
    </r>
    <r>
      <rPr>
        <sz val="10"/>
        <rFont val="Arial"/>
        <family val="2"/>
      </rPr>
      <t>000 = Normal mode (fixed 1x)
001 = Fixed 2x
010 = Fixed 4x
011 = Reserved
100 = Reserved
101 = On-the-fly 1x/2x
110 = On-the-fly 1x/4x
111 = Reserved</t>
    </r>
  </si>
  <si>
    <r>
      <rPr>
        <b/>
        <sz val="10"/>
        <rFont val="Arial"/>
        <family val="2"/>
      </rPr>
      <t>EMR3</t>
    </r>
    <r>
      <rPr>
        <sz val="10"/>
        <rFont val="Arial"/>
        <family val="2"/>
      </rPr>
      <t xml:space="preserve">
DDR4 </t>
    </r>
    <r>
      <rPr>
        <b/>
        <sz val="10"/>
        <rFont val="Arial"/>
        <family val="2"/>
      </rPr>
      <t xml:space="preserve">MR3: </t>
    </r>
    <r>
      <rPr>
        <sz val="10"/>
        <rFont val="Arial"/>
        <family val="2"/>
      </rPr>
      <t>Temperature sensor status</t>
    </r>
  </si>
  <si>
    <r>
      <t xml:space="preserve">Temperature sensor status
</t>
    </r>
    <r>
      <rPr>
        <sz val="10"/>
        <rFont val="Arial"/>
        <family val="2"/>
      </rPr>
      <t>0 = Disabled
1 = Enabled</t>
    </r>
  </si>
  <si>
    <r>
      <rPr>
        <b/>
        <sz val="10"/>
        <rFont val="Arial"/>
        <family val="2"/>
      </rPr>
      <t>EMR3</t>
    </r>
    <r>
      <rPr>
        <sz val="10"/>
        <rFont val="Arial"/>
        <family val="2"/>
      </rPr>
      <t xml:space="preserve">
DDR4 </t>
    </r>
    <r>
      <rPr>
        <b/>
        <sz val="10"/>
        <rFont val="Arial"/>
        <family val="2"/>
      </rPr>
      <t xml:space="preserve">MR3: </t>
    </r>
    <r>
      <rPr>
        <sz val="10"/>
        <rFont val="Arial"/>
        <family val="2"/>
      </rPr>
      <t>Per-DRAM addressability</t>
    </r>
  </si>
  <si>
    <r>
      <t xml:space="preserve">Per-DRAM addressability
</t>
    </r>
    <r>
      <rPr>
        <sz val="10"/>
        <rFont val="Arial"/>
        <family val="2"/>
      </rPr>
      <t>0 = Normal operation (disabled)
1 = Enable</t>
    </r>
  </si>
  <si>
    <r>
      <rPr>
        <b/>
        <sz val="10"/>
        <rFont val="Arial"/>
        <family val="2"/>
      </rPr>
      <t>EMR3</t>
    </r>
    <r>
      <rPr>
        <sz val="10"/>
        <rFont val="Arial"/>
        <family val="2"/>
      </rPr>
      <t xml:space="preserve">
DDR4 </t>
    </r>
    <r>
      <rPr>
        <b/>
        <sz val="10"/>
        <rFont val="Arial"/>
        <family val="2"/>
      </rPr>
      <t xml:space="preserve">MR3: </t>
    </r>
    <r>
      <rPr>
        <sz val="10"/>
        <rFont val="Arial"/>
        <family val="2"/>
      </rPr>
      <t>Gear-down mode</t>
    </r>
  </si>
  <si>
    <r>
      <t xml:space="preserve">Gear-down mode – Ratio of internal clock to external data rate
</t>
    </r>
    <r>
      <rPr>
        <sz val="10"/>
        <rFont val="Arial"/>
        <family val="2"/>
      </rPr>
      <t>0 = [1:1]; (1/2 rate data)
1 = [2:1]; (1/4 rate data)</t>
    </r>
  </si>
  <si>
    <r>
      <rPr>
        <b/>
        <sz val="10"/>
        <rFont val="Arial"/>
        <family val="2"/>
      </rPr>
      <t>EMR3</t>
    </r>
    <r>
      <rPr>
        <sz val="10"/>
        <rFont val="Arial"/>
        <family val="2"/>
      </rPr>
      <t xml:space="preserve">
DDR4 </t>
    </r>
    <r>
      <rPr>
        <b/>
        <sz val="10"/>
        <rFont val="Arial"/>
        <family val="2"/>
      </rPr>
      <t xml:space="preserve">MR3: </t>
    </r>
    <r>
      <rPr>
        <sz val="10"/>
        <rFont val="Arial"/>
        <family val="2"/>
      </rPr>
      <t>Multipurpose register (MPR) access</t>
    </r>
  </si>
  <si>
    <r>
      <t xml:space="preserve">Multipurpose register (MPR) access
</t>
    </r>
    <r>
      <rPr>
        <sz val="10"/>
        <rFont val="Arial"/>
        <family val="2"/>
      </rPr>
      <t>0 = Normal operation
1 = Data flow from MPR</t>
    </r>
  </si>
  <si>
    <r>
      <rPr>
        <b/>
        <sz val="10"/>
        <rFont val="Arial"/>
        <family val="2"/>
      </rPr>
      <t>EMR3</t>
    </r>
    <r>
      <rPr>
        <sz val="10"/>
        <rFont val="Arial"/>
        <family val="2"/>
      </rPr>
      <t xml:space="preserve">
DDR4 </t>
    </r>
    <r>
      <rPr>
        <b/>
        <sz val="10"/>
        <rFont val="Arial"/>
        <family val="2"/>
      </rPr>
      <t>MR3:</t>
    </r>
    <r>
      <rPr>
        <sz val="10"/>
        <rFont val="Arial"/>
        <family val="2"/>
      </rPr>
      <t xml:space="preserve"> MPR page select</t>
    </r>
  </si>
  <si>
    <r>
      <t xml:space="preserve">MPR page select
</t>
    </r>
    <r>
      <rPr>
        <sz val="10"/>
        <rFont val="Arial"/>
        <family val="2"/>
      </rPr>
      <t>00 = Page 0
01 = Page 1
10 = Page 2
11 = Page 3 (restricted for DRAM manufacturer use only)</t>
    </r>
  </si>
  <si>
    <t>dev_zqinit_x32</t>
  </si>
  <si>
    <t>ZQ initial calibration, tZQINIT. Present only in designs configured to support DDR3 or DDR4 or LPDDR2/LPDDR3.
DDR3 typically requires 512 SDRAM clock cycles.
DDR4 requires 1024 SDRAM clock cycles.
LPDDR2/LPDDR3 requires 1 us.
When the controller is operating in 1:2 frequency ratio mode, program this to JEDEC spec value divided by 2, and round it up to the next integer value.
Unit: 32 DFI clock cycles.
Value After Reset: 0x10</t>
  </si>
  <si>
    <t>DDRC_INIT5</t>
  </si>
  <si>
    <t>DDR4 MR4 and MR5 Register Settings</t>
  </si>
  <si>
    <t>DDR4 MR4: Hard Post Package Repair (hPPR mode)</t>
  </si>
  <si>
    <t>DDR4 MR4: WRITE preamble setting</t>
  </si>
  <si>
    <t>DDR4 MR4: READ preamble setting</t>
  </si>
  <si>
    <t>DDR4 MR4: READ preamble training</t>
  </si>
  <si>
    <t>DDR4 MR4: Self refresh abort mode</t>
  </si>
  <si>
    <t>DDR4 MR4: CMD (CAL) address latency</t>
  </si>
  <si>
    <t>DDR4 MR4: soft Post Package Repair (sPPR mode)</t>
  </si>
  <si>
    <t>DDR4 MR4: Internal VREF monitor</t>
  </si>
  <si>
    <t>DDR4 MR4: Temperature controlled refresh mode</t>
  </si>
  <si>
    <t>DDR4 MR4: Temperature controlled refresh range</t>
  </si>
  <si>
    <t>DDR4 MR4: Maximum power savings mode</t>
  </si>
  <si>
    <t>Maximum power savings mode
0 = Normal operation
1 = Enabled</t>
  </si>
  <si>
    <t>Temperature controlled refresh range
0 = Normal temperature mode
1 = Extended temperature mode</t>
  </si>
  <si>
    <t>Temperature controlled refresh mode
0 = Disabled
1 = Enabled</t>
  </si>
  <si>
    <t>Internal VREF monitor
0 = Disabled
1 = Enabled</t>
  </si>
  <si>
    <t>soft Post Package Repair (sPPR mode)
0 = Disabled
1 = Enabled</t>
  </si>
  <si>
    <t>CMD (CAL) address latency
000 = 0 clocks (disabled)
001 =3 clocks1
010 = 4 clocks
011 = 5 clocks1
100 = 6 clocks
101 = 8 clocks
110 = Reserved
111 = Reserved</t>
  </si>
  <si>
    <t>Self refresh abort mode
0 = Disabled
1 = Enabled</t>
  </si>
  <si>
    <t>READ preamble training
0 = Disabled
1 = Enabled</t>
  </si>
  <si>
    <t>Hard Post Package Repair (hPPR mode)
0 = Disabled
1 = Enabled</t>
  </si>
  <si>
    <t>DDR4 MR5: Data bus inversion (DBI) – READ DBI enable</t>
  </si>
  <si>
    <t>DDR4 MR5: Data bus inversion (DBI) – WRITE DBI enable</t>
  </si>
  <si>
    <t>DDR4 MR5: Data mask (DM)</t>
  </si>
  <si>
    <t>DDR4 MR5: CA parity persistent error mode</t>
  </si>
  <si>
    <t>DDR4 MR5: Parked ODT value (RTT(Park))</t>
  </si>
  <si>
    <t>DDR4 MR5: ODT input buffer for power-down</t>
  </si>
  <si>
    <t>DDR4 MR5: CA parity error status</t>
  </si>
  <si>
    <t>DDR4 MR5: CRC error status</t>
  </si>
  <si>
    <t>DDR4 MR5: CA parity latency mode</t>
  </si>
  <si>
    <t>CRC error status
0 = Clear
1 = Error</t>
  </si>
  <si>
    <t>CA parity error status
0 = Clear
1 = Error</t>
  </si>
  <si>
    <t>ODT input buffer for power-down
0 = Buffer enabled
1 = Buffer disabled</t>
  </si>
  <si>
    <t>Parked ODT value (RTT(Park))
000 = RTT(Park) disabled
001 = RZQ/4 (60 ohm)
010 = RZQ/2 (120 ohm)
011 = RZQ/6 (40 ohm)
100 = RZQ/1 (240 ohm)
101 = RZQ/5 (48 ohm)
110 = RZQ/3 (80 ohm)
111 = RZQ/7 (34 ohm)</t>
  </si>
  <si>
    <t>CA parity persistent error mode
0 = Disabled
1 = Enabled</t>
  </si>
  <si>
    <t>Data mask (DM)
0 = Disabled
1 = Enabled</t>
  </si>
  <si>
    <t>Data bus inversion (DBI) – WRITE DBI enable
0 = Disabled
1 = Enabled</t>
  </si>
  <si>
    <t>Data bus inversion (DBI) – READ DBI enable
0 = Disabled
1 = Enabled</t>
  </si>
  <si>
    <t>CA parity latency mode
000 = Disable
001 = 4 clocks (DDR4-1600/1866/2133)
010 = 5 clocks (DDR4-2400/2666)
011 = 6 clocks (DDR4-2933/3200)
100 = 8 clocks (DDR4-2933/3200)
101 = Reserved
110 = Reserved
111 = Reserved</t>
  </si>
  <si>
    <t>DDR4 MR6 Register Settings</t>
  </si>
  <si>
    <t>tCCD_L
000 = 4 clocks (≤1333 Mb/s)
001 = 5 clocks (&gt;1333 Mb/s and ≤1866 Mb/s)
010 = 6 clocks (&gt;1866 Mb/s and ≤2400 Mb/s)
011 = 7 clocks (&gt;2400 Mb/s and ≤2666 Mb/s)
100 = 8 clocks (&gt;2666 Mb/s and ≤3200 Mb/s)
101 = Reserved
110 = Reserved
111 = Reserved</t>
  </si>
  <si>
    <t>VREF Calibration Enable
0 = Disable
1 = Enable</t>
  </si>
  <si>
    <t>VREF Calibration Range
0 = Range 1
1 = Range 2</t>
  </si>
  <si>
    <t>VREF Calibration Value
See the VREFDQ Range and Levels table in the VREFDQ Calibration section</t>
  </si>
  <si>
    <t>DDR4 MR6: VREF Calibration Value</t>
  </si>
  <si>
    <t>DDR4 MR6: VREF Calibration Range</t>
  </si>
  <si>
    <t>DDR4 MR6: VREF Calibration Enable</t>
  </si>
  <si>
    <t>DDR4 MR6: tCCD_L</t>
  </si>
  <si>
    <t>DDRC_DIMMCTL</t>
  </si>
  <si>
    <t>lrdimm_bcom_cmd_prot</t>
  </si>
  <si>
    <t>dimm_dis_bg_mirroring</t>
  </si>
  <si>
    <t>mrs_bg1_en</t>
  </si>
  <si>
    <t>mrs_a17_en</t>
  </si>
  <si>
    <t>dimm_output_inv_en</t>
  </si>
  <si>
    <t>dimm_addr_mirr_en</t>
  </si>
  <si>
    <t>dimm_stagger_cs_en</t>
  </si>
  <si>
    <t>Protects the timing restrictions (tBCW/tMRC) between consecutive BCOM commands defined in the Data Buffer specification. When using DDR4 LRDIMM, this bit must be set to 1. Otherwise, this bit must be set to 0.
Value After Reset: 0x0</t>
  </si>
  <si>
    <t>Disabling Address Mirroring for BG bits. When this is set to 1, BG0 and BG1 are NOT swapped even if Address Mirroring is enabled. This will be required for DDR4 DIMMs with x16 devices.
■1 - BG0 and BG1 are NOT swapped.
■0 - BG0 and BG1 are swapped if address mirroring is enabled.
Value After Reset: 0x0</t>
  </si>
  <si>
    <t>Enable for BG1 bit of MRS command.
BG1 bit of the mode register address is specified as RFU (Reserved for Future Use) and must be programmed to 0 during MRS. In case where DRAMs which do not have BG1 are attached and both the CA parity and the Output Inversion are enabled, this must be set to 0, so that the calculation of CA parity will not include BG1 bit.
Note: This has no effect on the address of any other memory accesses, or of software-driven mode register accesses.
If address mirroring is enabled, this is applied to BG1 of even ranks and BG0 of odd ranks.
■1 - Enabled
■0 - Disabled
Value After Reset: 0x0</t>
  </si>
  <si>
    <t>Enable for A17 bit of MRS command.
A17 bit of the mode register address is specified as RFU (Reserved for Future Use) and must be programmed to 0 during MRS. In case where DRAMs which do not have A17 are attached and the Output Inversion are enabled, this must be set to 0, so that the calculation of CA parity will not include A17 bit.
Note: This has no effect on the address of any other memory accesses, or of software-driven mode register accesses.
■1 - Enabled
■0 - Disabled
Value After Reset: 0x0</t>
  </si>
  <si>
    <t>Output Inversion Enable (for DDR4 RDIMM/LRDIMM implementations only).
DDR4 RDIMM/LRDIMM implements the Output Inversion feature by default, which means that the following address, bank address and bank group bits of B-side DRAMs are inverted: A3-A9, A11, A13, A17, BA0-BA1, BG0-BG1. Setting this bit ensures that, for mode register accesses generated by the uMCTL2 during the automatic initialization routine and enabling of a particular DDR4 feature, separate A-side and B-side mode register accesses are generated. For B-side mode register accesses, these bits are inverted within the uMCTL2 to compensate for this RDIMM/LRDIMM inversion. It is recommended to set this bit always, if using DDR4 RDIMMs/LRDIMMs.
Note: This has no effect on the address of any other memory accesses, or of software-driven mode register accesses.
■1 - Implement output inversion for B-side DRAMs.
■0 - Do not implement output inversion for B-side DRAMs.
Value After Reset: 0x0</t>
  </si>
  <si>
    <t>Address Mirroring Enable (for multi-rank UDIMM implementations and multi-rank DDR4 RDIMM/LRDIMM implementations).
Some UDIMMs and DDR4 RDIMMs/LRDIMMs implement address mirroring for odd ranks, which means that the following address, bank address and bank group bits are swapped: (A3, A4), (A5, A6), (A7, A8), (BA0, BA1) and also (A11, A13), (BG0, BG1) for the DDR4. Setting this bit ensures that, for mode register accesses during the automatic initialization routine, these bits are swapped within the uMCTL2 to compensate for this UDIMM/RDIMM/LRDIMM swapping. In addition to the automatic initialization routine, in case of DDR4 UDIMM/RDIMM/LRDIMM, they are swapped during the automatic MRS access to enable/disable of a particular DDR4 feature.
Note: This has no effect on the address of any other memory accesses, or of software-driven mode register accesses.
This is not supported for mDDR, LPDDR2, LPDDR3 or LPDDR4 SDRAMs.
Note: In case of x16 DDR4 DIMMs, BG1 output of MRS for the odd ranks is same as BG0 because BG1 is invalid, hence dimm_dis_bg_mirroring register must be set to 1.
■1 - For odd ranks, implement address mirroring for MRS commands to during initialization and for any automatic DDR4 MRS commands (to be used if UDIMM/RDIMM/LRDIMM implements address mirroring)
■0 - Do not implement address mirroring
Value After Reset: 0x0</t>
  </si>
  <si>
    <t>Staggering enable for multi-rank accesses (for multi-rank UDIMM, RDIMM and LRDIMM implementations only). This is not supported for mDDR, LPDDR2, LPDDR3 or LPDDR4 SDRAMs.
Note: Even if this bit is set it does not take care of software driven MR commands (via MRCTRL0/MRCTRL1), where software is responsible to send them to seperate ranks as appropriate.
■1 - (DDR4) Send MRS commands to each ranks seperately
■1 - (non-DDR4) Send all commands to even and odd ranks seperately
■0 - Do not stagger accesses
Value After Reset: 0x0</t>
  </si>
  <si>
    <t>#DDRC_DIMMCTL</t>
  </si>
  <si>
    <t>0x3D400100</t>
  </si>
  <si>
    <t>0x3D400104</t>
  </si>
  <si>
    <t>0x3D400108</t>
  </si>
  <si>
    <t>0x3D40010C</t>
  </si>
  <si>
    <t>0x3D400110</t>
  </si>
  <si>
    <t>0x3D400114</t>
  </si>
  <si>
    <t>0x3D40011C</t>
  </si>
  <si>
    <t>0x3D400120</t>
  </si>
  <si>
    <t>0x3D400124</t>
  </si>
  <si>
    <t>0x3D40012C</t>
  </si>
  <si>
    <t>0x3D400130</t>
  </si>
  <si>
    <t>0x3D40013c</t>
  </si>
  <si>
    <t>#DDRC_DRAMTMG0</t>
  </si>
  <si>
    <t>#DDRC_DRAMTMG1</t>
  </si>
  <si>
    <t>#DDRC_DRAMTMG2</t>
  </si>
  <si>
    <t>#DDRC_DRAMTMG3</t>
  </si>
  <si>
    <t>#DDRC_DRAMTMG4</t>
  </si>
  <si>
    <t>#DDRC_DRAMTMG5</t>
  </si>
  <si>
    <t>#DDRC_DRAMTMG7</t>
  </si>
  <si>
    <t>#DDRC_DRAMTMG8</t>
  </si>
  <si>
    <t>#DDRC_DRAMTMG9</t>
  </si>
  <si>
    <t>#DDRC_DRAMTMG11</t>
  </si>
  <si>
    <t>#DDRC_DRAMTMG12</t>
  </si>
  <si>
    <t>#DDRC_DRAMTMG15</t>
  </si>
  <si>
    <r>
      <rPr>
        <b/>
        <sz val="10"/>
        <color theme="1"/>
        <rFont val="Arial"/>
        <family val="2"/>
      </rPr>
      <t>Note, write premable for DDR4 is automatically updated based on write premable setting of MR4.</t>
    </r>
    <r>
      <rPr>
        <sz val="10"/>
        <color theme="1"/>
        <rFont val="Arial"/>
        <family val="2"/>
      </rPr>
      <t xml:space="preserve">
DDR2/3/mDDR: RL + BL/2 + 2 - WL
DDR4: RL + BL/2 + 1 + WR_PREAMBLE - WL
LPDDR2/LPDDR3: RL + BL/2 + RU(tDQSCKmax/tCK) + 1 - WL
LPDDR4(DQ ODT is Disabled): RL + BL/2 + RU(tDQSCKmax/tCK) + WR_PREAMBLE + RD_POSTAMBLE - WL
LPDDR4(DQ ODT is Enabled) : RL + BL/2 + RU(tDQSCKmax/tCK) + RD_POSTAMBLE - ODTLon - RU(tODTon(min)/tCK)
Minimum time from read command to write command. Include time for bus turnaround and all per-bank, per-rank, and global constraints. Please see the relevant PHY databook for details of what should be included here.
Unit: Clocks.
Where:
■WL = write latency
■BL = burst length. This must match the value programmed in the BL bit of the mode register to the SDRAM
■RL = read latency = CAS latency
■WR_PREAMBLE = write preamble. This is unique to DDR4 and LPDDR4.
■RD_POSTAMBLE = read postamble. This is unique to LPDDR4.
For LPDDR2/LPDDR3/LPDDR4, if derating is enabled (DERATEEN.derate_enable=1), derated tDQSCKmax should be used.
When the controller is operating in 1:2 frequency ratio mode, divide the value calculated using the above equation by 2, and round it up to next integer.
Note that, depending on the PHY, if using LRDIMM, it may be necessary to adjust the value of this parameter to compensate for the extra cycle of latency through the LRDIMM.
Value After Reset: 0x6</t>
    </r>
  </si>
  <si>
    <r>
      <rPr>
        <b/>
        <sz val="10"/>
        <color theme="1"/>
        <rFont val="Arial"/>
        <family val="2"/>
      </rPr>
      <t>Value automatically updated based on DDR clock speed.</t>
    </r>
    <r>
      <rPr>
        <sz val="10"/>
        <color theme="1"/>
        <rFont val="Arial"/>
        <family val="2"/>
      </rPr>
      <t xml:space="preserve">
Set to WL from the device data sheet speed bin table
Time from write command to write data on SDRAM interface. This must be set to WL.
For mDDR, it should normally be set to 1.
Note that, depending on the PHY, if using RDIMM/LRDIMM, it may be necessary to adjust the value of WL to compensate for the extra cycle of latency through the RDIMM/LRDIMM.
When the controller is operating in 1:2 frequency ratio mode, divide the value calculated using the above equation by 2, and round it up to next integer.
This register field is not required for DDR2 and DDR3 (except if MEMC_TRAINING is set), as the DFI read and write latencies defined in DFITMG0 and DFITMG1 are sufficient for those protocols
Unit: clocks
Value After Reset: 0x3</t>
    </r>
  </si>
  <si>
    <r>
      <rPr>
        <b/>
        <sz val="10"/>
        <color theme="1"/>
        <rFont val="Arial"/>
        <family val="2"/>
      </rPr>
      <t>Value automatically updated based on DDR clock speed.</t>
    </r>
    <r>
      <rPr>
        <sz val="10"/>
        <color theme="1"/>
        <rFont val="Arial"/>
        <family val="2"/>
      </rPr>
      <t xml:space="preserve">
Set to RL from the device data sheet speed bin table
Time from read command to read data on SDRAM interface. This must be set to RL.
Note that, depending on the PHY, if using RDIMM/LRDIMM, it may be necessary to adjust the value of RL to compensate for the extra cycle of latency through the RDIMM/LRDIMM.
When the controller is operating in 1:2 frequency ratio mode, divide the value calculated using the above equation by 2, and round it up to next integer.
This register field is not required for DDR2 and DDR3 (except if MEMC_TRAINING is set), as the DFI read and write latencies defined in DFITMG0 and DFITMG1 are sufficient for those protocols
Unit: clocks
Value After Reset: 0x5</t>
    </r>
  </si>
  <si>
    <r>
      <rPr>
        <b/>
        <sz val="10"/>
        <rFont val="Arial"/>
        <family val="2"/>
      </rPr>
      <t>Note, tWTR is automatically updated based on JEDEC.</t>
    </r>
    <r>
      <rPr>
        <sz val="10"/>
        <rFont val="Arial"/>
        <family val="2"/>
      </rPr>
      <t xml:space="preserve">
DDR4: CWL + PL + BL/2 + tWTR_L
LPDDR2/3/4: WL + BL/2 + tWTR + 1
Others: CWL + BL/2 + tWTR
In DDR4, minimum time from write command to read command for same bank group. In others, minimum time from write command to read command. Includes time for bus turnaround, recovery times, and all per-bank, per-rank, and global constraints.
Unit: Clocks.
Where:
■CWL = CAS write latency
■WL = Write latency
■PL = Parity latency
■BL = burst length. This must match the value programmed in the BL bit of the mode register to the SDRAM
■tWTR_L = internal write to read command delay for same bank group. This comes directly from the SDRAM specification.
■tWTR = internal write to read command delay. This comes directly from the SDRAM specification.
Add one extra cycle for LPDDR2/LPDDR3/LPDDR4 operation.
When the controller is operating in 1:2 mode, divide the value calculated using the above equation by 2, and round it up to next integer.
Value After Reset: 0xd</t>
    </r>
  </si>
  <si>
    <r>
      <rPr>
        <b/>
        <sz val="10"/>
        <color theme="1"/>
        <rFont val="Arial"/>
        <family val="2"/>
      </rPr>
      <t>tXP is automatically updated based on JEDEC. Furthermore, the value of PL is automatically added if C/A partify is enabled.</t>
    </r>
    <r>
      <rPr>
        <sz val="10"/>
        <color theme="1"/>
        <rFont val="Arial"/>
        <family val="2"/>
      </rPr>
      <t xml:space="preserve">
tXP: Minimum time after power-down exit to any operation. For DDR3, this should be programmed to tXPDLL if slow powerdown exit is selected in MR0[12].
If C/A parity for DDR4 is used, set to (tXP+PL) instead.
If LPDDR4 is selected and its spec has tCKELPD parameter, set to the larger of tXP and tCKELPD instead.
When the controller is operating in 1:2 frequency ratio mode, program this to (tXP/2) and round it up to the next integer value.
Units: Clocks
Value After Reset: 0x8</t>
    </r>
  </si>
  <si>
    <r>
      <rPr>
        <b/>
        <sz val="10"/>
        <rFont val="Arial"/>
        <family val="2"/>
      </rPr>
      <t>tRTP is automatically updated based on JEDEC.</t>
    </r>
    <r>
      <rPr>
        <sz val="10"/>
        <rFont val="Arial"/>
        <family val="2"/>
      </rPr>
      <t xml:space="preserve">
tRTP: Minimum time from read to precharge of same bank.
■DDR2: tAL + BL/2 + max(tRTP, 2) - 2
■DDR3: tAL + max (tRTP, 4)
■DDR4: Max of following two equations: tAL + max (tRTP, 4) or, RL + BL/2 - tRP (*). Assuming tAL is normally 0, this can simply be tRTP, since the second equation, RL cancels out tRP. 
■mDDR: BL/2
■LPDDR2: Depends on if it's LPDDR2-S2 or LPDDR2-S4: LPDDR2-S2: BL/2 + tRTP - 1. LPDDR2-S4: BL/2 + max(tRTP,2) - 2.
■LPDDR3: BL/2 + max(tRTP,4) - 4
■LPDDR4: BL/2 + max(tRTP,8) - 8
(*) When both DDR4 SDRAM and ST-MRAM are used simultaneously, use SDRAM's tRP value for calculation.
When the controller is operating in 1:2 mode, 1T mode, divide the above value by 2. No rounding up.
When the controller is operating in 1:2 mode, 2T mode or LPDDR4 mode, divide the above value by 2 and round it up to the next integer value.
Unit: Clocks.
Value After Reset: 0x4</t>
    </r>
  </si>
  <si>
    <r>
      <rPr>
        <b/>
        <sz val="10"/>
        <color theme="1"/>
        <rFont val="Arial"/>
        <family val="2"/>
      </rPr>
      <t>tWR automatically updated based on JEDEC.</t>
    </r>
    <r>
      <rPr>
        <sz val="10"/>
        <color theme="1"/>
        <rFont val="Arial"/>
        <family val="2"/>
      </rPr>
      <t xml:space="preserve">
Minimum time between write and precharge to same bank.
Unit: Clocks
Specifications: WL + BL/2 + tWR = approximately 8 cycles + 15 ns = 14 clocks @400MHz and less for lower frequencies
where:
■WL = write latency
■BL = burst length. This must match the value programmed in the BL bit of the mode register to the SDRAM. BST (burst terminate) is not supported at present.
■tWR = Write recovery time. This comes directly from the SDRAM specification.
Add one extra cycle for LPDDR2/LPDDR3/LPDDR4 for this parameter.
When the controller is operating in 1:2 frequency ratio mode, 1T mode, divide the above value by 2. No rounding up.
When the controller is operating in 1:2 frequency ratio mode, 2T mode or LPDDR4 mode, divide the above value by 2 and round it up to the next integer value.
Note that, depending on the PHY, if using LRDIMM, it may be necessary to adjust the value of this parameter to compensate for the extra cycle of latency through the LRDIMM.
Value After Reset: 0xf</t>
    </r>
  </si>
  <si>
    <r>
      <rPr>
        <b/>
        <sz val="10"/>
        <color theme="1"/>
        <rFont val="Arial"/>
        <family val="2"/>
      </rPr>
      <t>tFAW (in ns) automatically updated based on JEDEC.</t>
    </r>
    <r>
      <rPr>
        <sz val="10"/>
        <color theme="1"/>
        <rFont val="Arial"/>
        <family val="2"/>
      </rPr>
      <t xml:space="preserve">
tFAW Valid only when 8 or more banks(or banks x bank groups) are present.
In 8-bank design, at most 4 banks must be activated in a rolling window of tFAW cycles.
When the controller is operating in 1:2 frequency ratio mode, program this to (tFAW/2) and round up to next integer value.
In a 4-bank design, set this register to 0x1 independent of the 1:1/1:2 frequency mode.
Unit: Clocks
Value After Reset: 0x10
Note, value is based on DDR4-2400 device and will be automatically adjusted based on page size.</t>
    </r>
  </si>
  <si>
    <r>
      <rPr>
        <b/>
        <sz val="10"/>
        <color theme="1"/>
        <rFont val="Arial"/>
        <family val="2"/>
      </rPr>
      <t>Updated automatically based on JEDEC timings and if C/A parity is enabled per the equation provided below. No user input required.</t>
    </r>
    <r>
      <rPr>
        <sz val="10"/>
        <color theme="1"/>
        <rFont val="Arial"/>
        <family val="2"/>
      </rPr>
      <t xml:space="preserve">
tMRD: Cycles to wait after a mode register write or read. Depending on the connected SDRAM, tMRD represents:
DDR2/mDDR: Time from MRS to any command
DDR3/4: Time from MRS to MRS command
LPDDR2: not used
LPDDR3/4: Time from MRS to non-MRS command.
When the controller is operating in 1:2 frequency ratio mode, program this to (tMRD/2) and round it up to the next integer value.
If C/A parity for DDR4 is used, set to tMRD_PAR(tMOD+PL) instead.
Value After Reset: 0x4</t>
    </r>
  </si>
  <si>
    <r>
      <t>Description: Time to wait after a mode register write or read (MRW or MRR).
Present only in designs configured to support LPDDR2/LPDDR3/LPDDR4
LPDDR2 typically requires value of 5.
LPDDR3 typically requires value of 10.
LPDDR4: Set this to the larger of tMRW and tMRWCKEL in ns.</t>
    </r>
    <r>
      <rPr>
        <b/>
        <sz val="10"/>
        <color theme="1"/>
        <rFont val="Arial"/>
        <family val="2"/>
      </rPr>
      <t xml:space="preserve">
DDR4: Set to 0.</t>
    </r>
    <r>
      <rPr>
        <sz val="10"/>
        <color theme="1"/>
        <rFont val="Arial"/>
        <family val="2"/>
      </rPr>
      <t xml:space="preserve">
Value After Reset: 0x0</t>
    </r>
  </si>
  <si>
    <r>
      <rPr>
        <b/>
        <sz val="10"/>
        <color theme="1"/>
        <rFont val="Arial"/>
        <family val="2"/>
      </rPr>
      <t>Updated automatically based on JEDEC timings and if C/A parity is enabled per the equation provided below. No user input required.</t>
    </r>
    <r>
      <rPr>
        <sz val="10"/>
        <color theme="1"/>
        <rFont val="Arial"/>
        <family val="2"/>
      </rPr>
      <t xml:space="preserve">
tMOD: Parameter used only in DDR3 and DDR4. Cycles between load mode command and following non-load mode command.
If C/A parity for DDR4 is used, set to tMOD_PAR(tMOD+PL) instead.
Set to tMOD if controller is operating in 1:1 frequency ratio mode, or tMOD/2 (rounded up to next integer) if controller is operating in 1:2 frequency ratio mode. Note that if using RDIMM/LRDIMM, depending on the PHY, it may be necessary to adjust the value of this parameter to compensate for the extra cycle of latency applied to mode register writes by the RDIMM/LRDIMM chip.
Also note that if using LRDIMM, the minimum value of this register is tMRD_L2 if controller is operating in 1:1 frequency ratio mode, or tMRD_L2/2 (rounded up to next integer) if controller is operating in 1:2 frequency ratio mode.
This is automatically calculated.</t>
    </r>
  </si>
  <si>
    <r>
      <rPr>
        <b/>
        <sz val="10"/>
        <color theme="1"/>
        <rFont val="Arial"/>
        <family val="2"/>
      </rPr>
      <t xml:space="preserve">tCCD_L is automatically updated based on JEDEC. In addition, JEDEC specifies a minimum of 5 clocks, whereas some vendors may specify this as 4. This tool conforms to JEDEC to ensure no timing violations with vendors who align with the JEDEC standard. </t>
    </r>
    <r>
      <rPr>
        <sz val="10"/>
        <color theme="1"/>
        <rFont val="Arial"/>
        <family val="2"/>
      </rPr>
      <t xml:space="preserve">
DDR4: tCCD_L: This is the minimum time between two reads or two writes for same bank group.
Others: tCCD: This is the minimum time between two reads or two writes.
When the controller is operating in 1:2 frequency ratio mode, program this to (tCCD_L/2 or tCCD/2) and round it up to the next integer value.
Unit: clocks.
Value After Reset: 0x4</t>
    </r>
  </si>
  <si>
    <r>
      <rPr>
        <b/>
        <sz val="10"/>
        <color theme="1"/>
        <rFont val="Arial"/>
        <family val="2"/>
      </rPr>
      <t xml:space="preserve">tRRD_L is automatically updated based on JEDEC and the page size (which is derived from the data bus size). </t>
    </r>
    <r>
      <rPr>
        <sz val="10"/>
        <color theme="1"/>
        <rFont val="Arial"/>
        <family val="2"/>
      </rPr>
      <t xml:space="preserve">
DDR4: tRRD_L: Minimum time between activates from bank "a" to bank "b" for same bank group.
Others: tRRD: Minimum time between activates from bank "a" to bank "b"
When the controller is operating in 1:2 frequency ratio mode, program this to (tRRD_L/2 or tRRD/2) and round it up to the next integer value.
Unit: Clocks.
Value After Reset: 0x4</t>
    </r>
  </si>
  <si>
    <r>
      <rPr>
        <b/>
        <sz val="10"/>
        <color theme="1"/>
        <rFont val="Arial"/>
        <family val="2"/>
      </rPr>
      <t xml:space="preserve">This is automatically updated based on JEDEC.
</t>
    </r>
    <r>
      <rPr>
        <sz val="10"/>
        <color theme="1"/>
        <rFont val="Arial"/>
        <family val="2"/>
      </rPr>
      <t>This is the time before Self Refresh Exit that CK is maintained as a valid clock before issuing SRX. Specifies the clock stable time before SRX.
Recommended settings:
■mDDR: 1
■LPDDR2: 2
■LPDDR3: 2
■LPDDR4: tCKCKEH
■DDR2: 1
■DDR3: tCKSRX
■DDR4: tCKSRX
When the controller is operating in 1:2 frequency ratio mode, program this to recommended value divided by two and round it up to next integer.
Value After Reset: 0x5</t>
    </r>
  </si>
  <si>
    <r>
      <rPr>
        <b/>
        <sz val="10"/>
        <color theme="1"/>
        <rFont val="Arial"/>
        <family val="2"/>
      </rPr>
      <t>This is automatically updated based on JEDEC and if CRCPARCTL1.caparity_disable_before_sr=0.</t>
    </r>
    <r>
      <rPr>
        <sz val="10"/>
        <color theme="1"/>
        <rFont val="Arial"/>
        <family val="2"/>
      </rPr>
      <t xml:space="preserve">
This is the time after Self Refresh Down Entry that CK is maintained as a valid clock. Specifies the clock disable delay after SRE.
Recommended settings:
■mDDR: 0
■LPDDR2: 2
■LPDDR3: 2
■LPDDR4: tCKELCK
■DDR2: 1
■DDR3: max (10 ns, 5 tCK)
■DDR4: max (10 ns, 5 tCK) (+ PL(parity latency)(*))
(*)Only if CRCPARCTL1.caparity_disable_before_sr=0, this register should be increased by PL.
When the controller is operating in 1:2 frequency ratio mode, program this to recommended value divided by two and round it up to next integer.
Value After Reset: 0x5</t>
    </r>
  </si>
  <si>
    <r>
      <rPr>
        <b/>
        <sz val="10"/>
        <color theme="1"/>
        <rFont val="Arial"/>
        <family val="2"/>
      </rPr>
      <t>This is automatically updated based on JEDEC and if CRCPARCTL1.caparity_disable_before_sr=0.</t>
    </r>
    <r>
      <rPr>
        <sz val="10"/>
        <color theme="1"/>
        <rFont val="Arial"/>
        <family val="2"/>
      </rPr>
      <t xml:space="preserve">
Minimum CKE low width for Self refresh or Self refresh power down entry to exit timing in memory clock cycles.
Recommended settings:
■mDDR: tRFC
■LPDDR2: tCKESR
■LPDDR3: tCKESR
■LPDDR4: max(tCKE, tSR)
■DDR2: tCKE
■DDR3: tCKE + 1
■DDR4: tCKE + 1 (+ PL(parity latency)(*))
(*)Only if CRCPARCTL1.caparity_disable_before_sr=0, this register should be increased by PL.
When the controller is operating in 1:2 frequency ratio mode, program this to recommended value divided by two and round it up to next integer.
Value After Reset: 0x4</t>
    </r>
  </si>
  <si>
    <r>
      <rPr>
        <b/>
        <sz val="10"/>
        <color theme="1"/>
        <rFont val="Arial"/>
        <family val="2"/>
      </rPr>
      <t>This is automatically updated based on JEDEC.</t>
    </r>
    <r>
      <rPr>
        <sz val="10"/>
        <color theme="1"/>
        <rFont val="Arial"/>
        <family val="2"/>
      </rPr>
      <t xml:space="preserve">
Minimum number of cycles of CKE HIGH/LOW during power-down and self refresh.
■LPDDR2/LPDDR3 mode: Set this to the larger of tCKE or tCKESR
■LPDDR4 mode: Set this to the larger of tCKE or tSR.
■Non-LPDDR2/non-LPDDR3/non-LPDDR4 designs: Set this to tCKE value.
When the controller is operating in 1:2 frequency ratio mode, program this to (value described above)/2 and round it up to the next integer value.
Unit: Clocks.
Value After Reset: 0x3</t>
    </r>
  </si>
  <si>
    <r>
      <rPr>
        <b/>
        <sz val="10"/>
        <color theme="1"/>
        <rFont val="Arial"/>
        <family val="2"/>
      </rPr>
      <t>For DDR4, this is the same as tDLLK.  The default is 768 clocks for 2400 speed grade.</t>
    </r>
    <r>
      <rPr>
        <sz val="10"/>
        <color theme="1"/>
        <rFont val="Arial"/>
        <family val="2"/>
      </rPr>
      <t xml:space="preserve">
tXSDLL: Exit Self Refresh to commands requiring a locked DLL.
When the controller is operating in 1:2 frequency ratio mode, program this to the above value divided by 2 and round up to next integer value.
Unit: Multiples of 32 clocks.
Note: Used only for DDR2, DDR3 and DDR4 SDRAMs.
Value After Reset: 0x44</t>
    </r>
  </si>
  <si>
    <t>DDR4 Write preamble mode
■ 0: 1tCK preamble
■ 1: 2tCK preamble
Present only with MEMC_FREQ_RATIO=2
Value After Reset: 0x0</t>
  </si>
  <si>
    <r>
      <rPr>
        <b/>
        <sz val="10"/>
        <color theme="1"/>
        <rFont val="Arial"/>
        <family val="2"/>
      </rPr>
      <t>Note, the tool provides the default setting for the 2400 speed grade and the page size which is factor of the DDR4 device data bus width provided in the Device Information table above.</t>
    </r>
    <r>
      <rPr>
        <sz val="10"/>
        <color theme="1"/>
        <rFont val="Arial"/>
        <family val="2"/>
      </rPr>
      <t xml:space="preserve">
tRRD_S: Minimum time between activates from bank "a" to 
bank "b" for different bank group.
When the controller is operating in 1:2 frequency ratio mode, 
program this to (tRRD_S/2) and round it up to the next 
integer value.
Present only in designs configured to support DDR4.
Unit: Clocks.
Value After Reset: 0x4</t>
    </r>
  </si>
  <si>
    <r>
      <rPr>
        <b/>
        <sz val="10"/>
        <color theme="1"/>
        <rFont val="Arial"/>
        <family val="2"/>
      </rPr>
      <t>Note, this value is automatically calculated based on the values of the following parameters provided in this tool.</t>
    </r>
    <r>
      <rPr>
        <sz val="10"/>
        <color theme="1"/>
        <rFont val="Arial"/>
        <family val="2"/>
      </rPr>
      <t xml:space="preserve">
CWL + PL + BL/2 + tWTR_S
Minimum time from write command to read command for 
different bank group. Includes time for bus turnaround, 
recovery times, and all per-bank, per-rank, and global 
constraints.
Present only in designs configured to support DDR4.
Unit: Clocks.
Where:
■ CWL = CAS write latency
■ PL = Parity latency
■ BL = burst length. This must match the value 
programmed in the BL bit of the mode register to the 
SDRAM
■ tWTR_S = internal write to read command delay for 
different bank group. This comes directly from the 
SDRAM specification.
When the controller is operating in 1:2 mode, divide the 
value calculated using the above equation by 2, and round it 
up to next integer.
Value After Reset: 0xd</t>
    </r>
  </si>
  <si>
    <t xml:space="preserve">READ preamble setting
0 = 1tCK toggle
1 = 2tCK toggle </t>
  </si>
  <si>
    <t>WRITE preamble setting
0 = 1tCK toggle
1 = 2tCK toggle</t>
  </si>
  <si>
    <r>
      <rPr>
        <b/>
        <sz val="10"/>
        <color theme="1"/>
        <rFont val="Arial"/>
        <family val="2"/>
      </rPr>
      <t>This is preset according to JEDEC.</t>
    </r>
    <r>
      <rPr>
        <sz val="10"/>
        <color theme="1"/>
        <rFont val="Arial"/>
        <family val="2"/>
      </rPr>
      <t xml:space="preserve">
tCCD_S: This is the minimum time between two reads or two 
writes for different bank group. For bank switching (from 
bank "a" to bank "b"), the minimum time is this value + 1.
When the controller is operating in 1:2 frequency ratio mode, 
program this to (tCCD_S/2) and round it up to the next 
integer value.
Present only in designs configured to support DDR4.
Unit: clocks.
Value After Reset: 0x4</t>
    </r>
  </si>
  <si>
    <r>
      <rPr>
        <b/>
        <sz val="10"/>
        <color theme="1"/>
        <rFont val="Arial"/>
        <family val="2"/>
      </rPr>
      <t>Note, this value is automatically calculated based on parameters T_MOD and tCPDED, which is set to 4 per JEDEC</t>
    </r>
    <r>
      <rPr>
        <sz val="10"/>
        <color theme="1"/>
        <rFont val="Arial"/>
        <family val="2"/>
      </rPr>
      <t>. 
tCKMPE: Minimum valid clock requirement after MPSM 
entry.
Present only in designs configured to support DDR4.
Unit: Clocks.
When the controller is operating in 1:2 frequency ratio mode, 
divide the value calculated using the above equation by 2, 
and round it up to next integer.
Value After Reset: 0x1c</t>
    </r>
  </si>
  <si>
    <r>
      <rPr>
        <b/>
        <sz val="10"/>
        <color theme="1"/>
        <rFont val="Arial"/>
        <family val="2"/>
      </rPr>
      <t>Note, this value is automatically calculated based on parameters T_RFC_MIN and t_xs_dll_x32.
MIN = tXMP (MIN) + tXSDLL (MIN)
tXMP=tXS=tRFC+10ns
tXSDLL=tDLLK</t>
    </r>
    <r>
      <rPr>
        <sz val="10"/>
        <color theme="1"/>
        <rFont val="Arial"/>
        <family val="2"/>
      </rPr>
      <t xml:space="preserve">
tXMPDLL:  This is the minimum Exit MPSM to commands 
requiring a locked DLL.
When the controller is operating in 1:2 frequency ratio mode, 
program this to (tXMPDLL/2) and round it up to the next 
integer value.
Present only in designs configured to support DDR4.
Unit: Multiples of 32 clocks.
Value After Reset: 0x44</t>
    </r>
  </si>
  <si>
    <t>`</t>
  </si>
  <si>
    <r>
      <rPr>
        <b/>
        <sz val="10"/>
        <color theme="1"/>
        <rFont val="Arial"/>
        <family val="2"/>
      </rPr>
      <t xml:space="preserve">For DDR4, this is tRFC+10. The value of tRFC is updated automatically based on density.
</t>
    </r>
    <r>
      <rPr>
        <sz val="10"/>
        <color theme="1"/>
        <rFont val="Arial"/>
        <family val="2"/>
      </rPr>
      <t>tXS: Exit Self Refresh to commands not requiring a locked DLL.
When the controller is operating in 1:2 frequency ratio mode, program this to the above value divided by 2 and round up to next integer value.
Unit: Multiples of 32 clocks.
Note: Used only for DDR2, DDR3 and DDR4 SDRAMs.
Value After Reset: 0x5</t>
    </r>
  </si>
  <si>
    <r>
      <rPr>
        <b/>
        <sz val="10"/>
        <color theme="1"/>
        <rFont val="Arial"/>
        <family val="2"/>
      </rPr>
      <t>This is automatically set based on JEDEC</t>
    </r>
    <r>
      <rPr>
        <sz val="10"/>
        <color theme="1"/>
        <rFont val="Arial"/>
        <family val="2"/>
      </rPr>
      <t xml:space="preserve">
tMPX_LH:  This is the minimum CS_n Low hold time to CKE 
rising edge.
When the controller is operating in 1:2 frequency ratio mode, 
program this to RoundUp(tMPX_LH/2)+1.
Present only in designs configured to support DDR4.
Unit: clocks.
Value After Reset: 0xc</t>
    </r>
  </si>
  <si>
    <r>
      <rPr>
        <b/>
        <sz val="10"/>
        <color theme="1"/>
        <rFont val="Arial"/>
        <family val="2"/>
      </rPr>
      <t>Note, the default value is based on DDR4 2400 speed grade. However, even for other speed grades, this value should never exceed 1 clock cycle.
tMPX_S = tISmin + tIHmin=0.062+0.087</t>
    </r>
    <r>
      <rPr>
        <sz val="10"/>
        <color theme="1"/>
        <rFont val="Arial"/>
        <family val="2"/>
      </rPr>
      <t xml:space="preserve">
tMPX_S:  Minimum time CS setup time to CKE.
When the controller is operating in 1:2 frequency ratio mode, 
program this to (tMPX_S/2) and round it up to the next 
integer value.
Present only in designs configured to support DDR4.
Unit: Clocks.
Value After Reset: 0x2</t>
    </r>
  </si>
  <si>
    <r>
      <rPr>
        <b/>
        <sz val="10"/>
        <color theme="1"/>
        <rFont val="Arial"/>
        <family val="2"/>
      </rPr>
      <t>For DDR4,  automatically set to greater of 16 clocks or 10ns.</t>
    </r>
    <r>
      <rPr>
        <sz val="10"/>
        <color theme="1"/>
        <rFont val="Arial"/>
        <family val="2"/>
      </rPr>
      <t xml:space="preserve">
tMRD_PDA: This is the Mode Register Set command cycle time in PDA mode.
When the controller is operating in 1:2 frequency ratio mode, program this to (tMRD_PDA/2) and round it up to the next integer value.
Value After Reset: 0x10</t>
    </r>
  </si>
  <si>
    <t>en_dfi_lp_t_stab</t>
  </si>
  <si>
    <t>t_stab_x32</t>
  </si>
  <si>
    <t>tSTAB: Stabilization time.
It is required in the following two cases for DDR3/DDR4 RDIMM :
■when exiting power saving mode, if the clock was stopped, after re-enabling it the clock must be stable for a time specified by tSTAB
■in the case of input clock frequency change (DDR4)
■after issuing control words that refers to clock timing (Specification: 6us for DDR3, 5us for DDR4)
When the controller is operating in 1:2 frequency ratio mode, program this to recommended value divided by two and round it up to next integer.
Unit: Multiples of 32 clock cycles.
Value After Reset: 0x0</t>
  </si>
  <si>
    <t>■1 - Enable using tSTAB when exiting DFI LP. Needs to be set when the PHY is stopping the clock during DFI LP to save maximum power.
■0 - Disable using tSTAB when exiting DFI LP
Value After Reset: 0x0</t>
  </si>
  <si>
    <t>DDRC_DRAMTMG15</t>
  </si>
  <si>
    <t>0x3D400180</t>
  </si>
  <si>
    <t>0x3D400184</t>
  </si>
  <si>
    <t>0x00000000</t>
  </si>
  <si>
    <t>#DDRC_ZQCTL0</t>
  </si>
  <si>
    <t>#DDRC_ZQCTL1</t>
  </si>
  <si>
    <r>
      <rPr>
        <b/>
        <sz val="10"/>
        <color theme="1"/>
        <rFont val="Arial"/>
        <family val="2"/>
      </rPr>
      <t>For DDR4, tZQoper (in clocks) is automatically set based on JEDEC</t>
    </r>
    <r>
      <rPr>
        <sz val="10"/>
        <color theme="1"/>
        <rFont val="Arial"/>
        <family val="2"/>
      </rPr>
      <t xml:space="preserve">
tZQoper for DDR3/DDR4, tZQCL for LPDDR2/LPDDR3, tZQCAL for LPDDR4: Number of DFI clock cycles of NOP required after a ZQCL (ZQ calibration long)/MPC(ZQ Start) command is issued to SDRAM.
When the controller is operating in 1:2 frequency ratio mode:
DDR3/DDR4: program this to tZQoper/2 and round it up to the next integer value.
LPDDR2/LPDDR3: program this to tZQCL/2 and round it up to the next integer value.
LPDDR4: program this to tZQCAL/2 and round it up to the next integer value.
This is only present for designs supporting DDR3/DDR4 or LPDDR2/LPDDR3/LPDDR4 devices.
Value After Reset: 0x200</t>
    </r>
  </si>
  <si>
    <r>
      <rPr>
        <b/>
        <sz val="10"/>
        <color theme="1"/>
        <rFont val="Arial"/>
        <family val="2"/>
      </rPr>
      <t>For DDR4, tZQCS (in clocks) is automatically set based on JEDEC</t>
    </r>
    <r>
      <rPr>
        <sz val="10"/>
        <color theme="1"/>
        <rFont val="Arial"/>
        <family val="2"/>
      </rPr>
      <t xml:space="preserve">
tZQCS for DDR3/DD4/LPDDR2/LPDDR3, tZQLAT for LPDDR4: Number of DFI clock cycles of NOP required after a ZQCS (ZQ calibration short)/MPC(ZQ Latch) command is issued to SDRAM.
When the controller is operating in 1:2 frequency ratio mode, program this to tZQCS/2 and round it up to the next integer value.
This is only present for designs supporting DDR3/DDR4 or LPDDR2/LPDDR3/LPDDR4 devices.
Value After Reset: 0x40</t>
    </r>
  </si>
  <si>
    <t>0x3D400190</t>
  </si>
  <si>
    <t>0x3D400194</t>
  </si>
  <si>
    <t>0x3D400198</t>
  </si>
  <si>
    <t>0x3D40019c</t>
  </si>
  <si>
    <t>0x3D4001A0</t>
  </si>
  <si>
    <t>0x3D4001A4</t>
  </si>
  <si>
    <t>0x3D4001A8</t>
  </si>
  <si>
    <t>0x3D4001B0</t>
  </si>
  <si>
    <t>0x3D4001B4</t>
  </si>
  <si>
    <t>0x3D4001B8</t>
  </si>
  <si>
    <t>0x3D4001C0</t>
  </si>
  <si>
    <t>0x3D4001C4</t>
  </si>
  <si>
    <t>#DDRC_DFITMG0</t>
  </si>
  <si>
    <t>#DDRC_DFITMG1</t>
  </si>
  <si>
    <t>#DDRC_DFILPCFG0</t>
  </si>
  <si>
    <t>#DDRC_DFILPCFG1</t>
  </si>
  <si>
    <t>#DDRC_DFIUPD0</t>
  </si>
  <si>
    <t>#DDRC_DFIUPD1</t>
  </si>
  <si>
    <t>#DDRC_DFIUPD2</t>
  </si>
  <si>
    <t>#DDRC_DFIMISC</t>
  </si>
  <si>
    <t>#DDRC_DFITMG2</t>
  </si>
  <si>
    <t>#DDRC_DFITMG3</t>
  </si>
  <si>
    <t>#DDRC_DBICTL</t>
  </si>
  <si>
    <t>WR (WRITE recovery)/RTP (READ-to-PRECHARGE)
0000 = 10 / 5 clocks1
0001 = 12 / 6 clocks
0010 = 14 / 7 clocks1
0011 = 16 / 8 / clocks
0100 = 18 / 9 clocks1
0101 = 20 /10 clocks
0110 = 24 / 12 clocks
0111 = 22 / 11 clocks1
1000 = 26 / 13 clocks1
1001 = 28 / 14 clocks2
1010 through 1111 = Reserved</t>
  </si>
  <si>
    <t>DLL reset
0 = No
1 = Yes</t>
  </si>
  <si>
    <t>Test mode (TM) – Manufacturer use only
0 = Normal operating mode, must be programmed to 0</t>
  </si>
  <si>
    <t>CAS latency (CL) – Delay in clock cycles from the internal READ command to first data-out
00000 = 9 clocks1
00001 = 10 clocks
00010 = 11 clocks1
00011 = 12 clocks
00100 = 13 clocks1
00101 = 14 clocks
00110 = 15 clocks1
00111 = 16 clocks
01000 = 18 clocks
01001 = 20 clocks
01010 = 22 clocks
01011 = 24 clocks
01100 = 23 clocks1
01101 = 17 clocks1
01110 = 19 clocks1
01111 = 21 clocks 1
10000 = 25 clocks (3DS use only)
10001 = 26 clocks
10010 = 27 clocks (3DS use only)
10011 = 28 clocks
10100 = 29 clocks1
10101 = 30 clocks
10110 = 31 clocks1
10111 = 32 clocks</t>
  </si>
  <si>
    <t>Burst type (BT) – Data burst ordering within a READ or WRITE burst access
0 = Nibble sequential
1 = Interleave</t>
  </si>
  <si>
    <t>Burst length (BL) – Data burst size associated with each read or write access
00 = BL8 (fixed)
01 = BC4 or BL8 (on-the-fly)
10 = BC4 (fixed)
11 = Reserved</t>
  </si>
  <si>
    <t>Data output disable (Qoff) – Output buffer disable
0 = Enabled (normal operation)
1 = Disabled (both ODI and RTT)</t>
  </si>
  <si>
    <t>Termination data strobe (TDQS) – Additional termination pins (x8 configuration only)
0 = TDQS disabled
1 = TDQS enabled</t>
  </si>
  <si>
    <t>Nominal ODT (RTT(NOM) – Data bus termination setting
000 = RTT(NOM) disabled
001 = RZQ/4 (60 ohm)
010 = RZQ/2 (120 ohm)
011 = RZQ/6 (40 ohm)
100 = RZQ/1 (240 ohm)
101 = RZQ/5 (48 ohm)
110 = RZQ/3 (80 ohm)
111 = RZQ/7 (34 ohm)</t>
  </si>
  <si>
    <t>Write leveling (WL) – Write leveling mode
0 = Disabled (normal operation)
1 = Enabled (enter WL mode)</t>
  </si>
  <si>
    <t>Additive latency (AL) – Command additive latency setting
00 = 0 (AL disabled)
01 = CL - 1
10 = CL - 2
11 = Reserved</t>
  </si>
  <si>
    <t>Output driver impedance (ODI) – Output driver impedance setting
00 = RZQ/7 (34 ohm)
01 = RZQ/5 (48 ohm)
10 = Reserved (Although not JEDEC-defined and not tested, this setting will provide RZQ/6 or 40 ohm)
11 = Reserved</t>
  </si>
  <si>
    <t>DLL enable – DLL enable feature
0 = DLL disabled
1 = DLL enabled (normal operation)</t>
  </si>
  <si>
    <t>Description: Number of clocks between when a write command is sent on the DFI control interface and when the associated dfi_wrdata_cs signal is asserted. This corresponds to the DFI timing parameter tphy_wrcslat.
Refer to PHY specification for correct value.
Value After Reset: 0x2
Per PUB: tphy_wrcslat = WL-5</t>
  </si>
  <si>
    <t>Description: Number of clocks between when a read command is sent on the DFI control interface and when the associated dfi_rddata_cs signal is asserted. This corresponds to the DFI timing parameter tphy_rdcslat. Refer to PHY specification for correct value.
Value After Reset: 0x2
Per PUB, tphy_rdcslat = RL-5</t>
  </si>
  <si>
    <t>Enables support of ctl_idle signal, which is non-DFI related pin specific to certain Synopsys PHYs. See signal description of ctl_idle signal for further details of ctl_idle functionality.
Value After Reset: 0x0
Per SNPS, set to 0 to align with their initialization</t>
  </si>
  <si>
    <t>ctrlupd_pre_srx</t>
  </si>
  <si>
    <t>Selects dfi_ctrlupd_req requirements at SRX:
■0 : send ctrlupd after SRX
■1 : send ctrlupd before SRX If DFIUPD0.dis_auto_ctrlupd_srx=1, this register has no impact, because no dfi_ctrlupd_req will be issued when SRX.
Value After Reset: 0x0</t>
  </si>
  <si>
    <t>dfi_t_geardown_delay</t>
  </si>
  <si>
    <t>The delay from dfi_geardown_en assertion to the time of the PHY being ready to receive commands.
Refer to PHY specification for correct value.
When the controller is operating in 1:2 frequency ratio mode, program this to (tgeardown_delay/2) and round it up to the next integer value.
Unit: Clocks
Value After Reset: 0x0</t>
  </si>
  <si>
    <t>DDRC_DFITMG3</t>
  </si>
  <si>
    <t>DDRC_DFILPCFG0</t>
  </si>
  <si>
    <t>dfi_tlp_resp</t>
  </si>
  <si>
    <t>dfi_lp_wakeup_dpd</t>
  </si>
  <si>
    <t>dfi_lp_en_dpd</t>
  </si>
  <si>
    <t>dfi_lp_wakeup_sr</t>
  </si>
  <si>
    <t>dfi_lp_en_sr</t>
  </si>
  <si>
    <t>dfi_lp_wakeup_pd</t>
  </si>
  <si>
    <t>dfi_lp_en_pd</t>
  </si>
  <si>
    <t>Enables DFI Low Power interface handshaking during Power Down Entry/Exit.
■0 - Disabled
■1 - Enabled
Value After Reset: 0x0</t>
  </si>
  <si>
    <t>Value in DFI clock cycles to drive on dfi_lp_wakeup signal when Power Down mode is entered.
Determines the DFI's tlp_wakeup time:
■0x0 - 16 cycles
■0x1 - 32 cycles
■0x2 - 64 cycles
■0x3 - 128 cycles
■0x4 - 256 cycles
■0x5 - 512 cycles
■0x6 - 1024 cycles
■0x7 - 2048 cycles
■0x8 - 4096 cycles
■0x9 - 8192 cycles
■0xA - 16384 cycles
■0xB - 32768 cycles
■0xC - 65536 cycles
■0xD - 131072 cycles
■0xE - 262144 cycles
■0xF - Unlimited
Value After Reset: 0x0</t>
  </si>
  <si>
    <t>Enables DFI Low Power interface handshaking during Self Refresh Entry/Exit.
■0 - Disabled
■1 - Enabled
Value After Reset: 0x0</t>
  </si>
  <si>
    <t>Value in DFI clpck cycles to drive on dfi_lp_wakeup signal when Self Refresh mode is entered.
Determines the DFI's tlp_wakeup time:
■0x0 - 16 cycles
■0x1 - 32 cycles
■0x2 - 64 cycles
■0x3 - 128 cycles
■0x4 - 256 cycles
■0x5 - 512 cycles
■0x6 - 1024 cycles
■0x7 - 2048 cycles
■0x8 - 4096 cycles
■0x9 - 8192 cycles
■0xA - 16384 cycles
■0xB - 32768 cycles
■0xC - 65536 cycles
■0xD - 131072 cycles
■0xE - 262144 cycles
■0xF - Unlimited
Value After Reset: 0x0</t>
  </si>
  <si>
    <t>Enables DFI Low Power interface handshaking during Deep Power Down Entry/Exit.
■0 - Disabled
■1 - Enabled
This is only present for designs supporting mDDR or LPDDR2/LPDDR3 devices.
Value After Reset: 0x0</t>
  </si>
  <si>
    <t>Value in DFI clock cycles to drive on dfi_lp_wakeup signal when Deep Power Down mode is entered.
Determines the DFI's tlp_wakeup time:
■0x0 - 16 cycles
■0x1 - 32 cycles
■0x2 - 64 cycles
■0x3 - 128 cycles
■0x4 - 256 cycles
■0x5 - 512 cycles
■0x6 - 1024 cycles
■0x7 - 2048 cycles
■0x8 - 4096 cycles
■0x9 - 8192 cycles
■0xA - 16384 cycles
■0xB - 32768 cycles
■0xC - 65536 cycles
■0xD - 131072 cycles
■0xE - 262144 cycles
■0xF - Unlimited
This is only present for designs supporting mDDR or LPDDR2/LPDDR3 devices.
Value After Reset: 0x0</t>
  </si>
  <si>
    <t>Setting in DFI clock cycles for DFI's tlp_resp time.
Same value is used for both Power Down, Self Refresh, Deep Power Down and Maximum Power Saving modes.
DFI 2.1 specification onwards, recommends using a fixed value of 7 always.
Value After Reset: 0x7</t>
  </si>
  <si>
    <t>dfi_lp_wakeup_mpsm</t>
  </si>
  <si>
    <t>dfi_lp_en_mpsm</t>
  </si>
  <si>
    <t>Value in DFI clock cycles to drive on dfi_lp_wakeup signal when Maximum Power Saving Mode is entered.
Determines the DFI's tlp_wakeup time:
■0x0 - 16 cycles
■0x1 - 32 cycles
■0x2 - 64 cycles
■0x3 - 128 cycles
■0x4 - 256 cycles
■0x5 - 512 cycles
■0x6 - 1024 cycles
■0x7 - 2048 cycles
■0x8 - 4096 cycles
■0x9 - 8192 cycles
■0xA - 16384 cycles
■0xB - 32768 cycles
■0xC - 65536 cycles
■0xD - 131072 cycles
■0xE - 262144 cycles
■0xF - Unlimited
This is only present for designs supporting DDR4 devices.
Value After Reset: 0x0</t>
  </si>
  <si>
    <t>Enables DFI Low Power interface handshaking during Maximum Power Saving Mode Entry/Exit.
■0 - Disabled
■1 - Enabled
This is only present for designs supporting DDR4 devices.
Value After Reset: 0x0</t>
  </si>
  <si>
    <t>DDRC_DFILPCFG1</t>
  </si>
  <si>
    <t>#DDRC_DFIPHYMSTR</t>
  </si>
  <si>
    <t>DDRC_DFIPHYMSTR</t>
  </si>
  <si>
    <t>dfi_phymstr_en</t>
  </si>
  <si>
    <t>Enables the PHY Master Interface:
■0 - Disabled
■1 - Enabled
Value After Reset: 0x1</t>
  </si>
  <si>
    <t>0x3D400200</t>
  </si>
  <si>
    <t>0x3D400204</t>
  </si>
  <si>
    <t>0x3D400208</t>
  </si>
  <si>
    <t>0x3D40020C</t>
  </si>
  <si>
    <t>0x3D400210</t>
  </si>
  <si>
    <t>0x3D400214</t>
  </si>
  <si>
    <t>0x3D400218</t>
  </si>
  <si>
    <t>0x3D40021c</t>
  </si>
  <si>
    <t>0x3D400220</t>
  </si>
  <si>
    <t xml:space="preserve">#DDRC_ADDRMAP0 </t>
  </si>
  <si>
    <t xml:space="preserve">#DDRC_ADDRMAP1 </t>
  </si>
  <si>
    <t xml:space="preserve">#DDRC_ADDRMAP2 </t>
  </si>
  <si>
    <t xml:space="preserve">#DDRC_ADDRMAP3 </t>
  </si>
  <si>
    <t xml:space="preserve">#DDRC_ADDRMAP4 </t>
  </si>
  <si>
    <t xml:space="preserve">#DDRC_ADDRMAP5 </t>
  </si>
  <si>
    <t xml:space="preserve">#DDRC_ADDRMAP6 </t>
  </si>
  <si>
    <t xml:space="preserve">#DDRC_ADDRMAP7 </t>
  </si>
  <si>
    <t xml:space="preserve">#DDRC_ADDRMAP8 </t>
  </si>
  <si>
    <t>LPDDR3_6GB_12_GB</t>
  </si>
  <si>
    <t>■Full bus width mode: Selects the HIF address bit used as column address bit 9.
■Half bus width mode: Selects the HIF address bit used as column address bit 11 (10 in LPDDR2/LPDDR3 mode).
■Quarter bus width mode: Selects the HIF address bit used as column address bit 13 (11 in LPDDR2/LPDDR3 mode).
Valid Range: 0 to 7, x, and 31. x indicate a valid value in inline ECC configuration.
Internal Base: 9
The selected HIF address bit is determined by adding the internal base to the value of this field. If unused, set to 31 and then this column address bit is set to 0.
Note: Per JEDEC DDR2/3/mDDR specification, column address bit 10 is reserved for indicating auto-precharge, and hence no source address bit can be mapped to column address bit 10.
In LPDDR2/LPDDR3, there is a dedicated bit for auto-precharge in the CA bus and hence column bit 10 is used.
In Inline ECC configuration (MEMC_INLINE_ECC=1) and ECC is enabled (ECCCFG0.ecc_mode&gt;0), the highest 3 column address bits must map to the highest 3 valid HIF address bits.
If column bit 9 is the highest column address bit, it must map to the highest valid HIF address bit. (x = the highest valid HIF address bit - internal base)
If column bit 9 is the second highest column address bit, it must map to the second highest valid HIF address bit. (x = the highest valid HIF address bit - 1 - internal base)
If column bit 9 is the third highest column address bit, it must map to the third highest valid HIF address bit. (x = the highest valid HIF address bit - 2 - internal base)
if it is unused, set to 31.</t>
  </si>
  <si>
    <t>■Full bus width mode: Selects the HIF address bit used as column address bit 8.
■Half bus width mode: Selects the HIF address bit used as column address bit 9.
■Quarter bus width mode: Selects the HIF address bit used as column address bit 11 (10 in LPDDR2/LPDDR3 mode).
Valid Range: 0 to 7, x, and 31. x indicate a valid value in inline ECC configuration.
Internal Base: 8
The selected HIF address bit is determined by adding the internal base to the value of this field. If unused, set to 31 and then this column address bit is set to 0.
Note: Per JEDEC DDR2/3/mDDR specification, column address bit 10 is reserved for indicating auto-precharge, and hence no source address bit can be mapped to column address bit 10.
In LPDDR2/LPDDR3, there is a dedicated bit for auto-precharge in the CA bus and hence column bit 10 is used.
In Inline ECC configuration (MEMC_INLINE_ECC=1) and ECC is enabled (ECCCFG0.ecc_mode&gt;0), the highest 3 column address bits must map to the highest 3 valid HIF address bits.
If column bit 8 is the second highest column address bit, it must map to the second highest valid HIF address bit. (x = the highest valid HIF address bit - 1 - internal base)
If column bit 8 is the third highest column address bit, it must map to the third highest valid HIF address bit. (x = the highest valid HIF address bit - 2 - internal base)
if it is unused, set to 31.</t>
  </si>
  <si>
    <t>■Full bus width mode: Selects the HIF address bit used as column address bit 7.
■Half bus width mode: Selects the HIF address bit used as column address bit 8.
■Quarter bus width mode: Selects the HIF address bit used as column address bit 9.
Valid Range: 0 to 7, x, and 31. x indicate a valid value in inline ECC configuration.
Internal Base: 7
The selected HIF address bit is determined by adding the internal base to the value of this field. If unused, set to 31 and then this column address bit is set to 0.
In Inline ECC configuration (MEMC_INLINE_ECC=1) and ECC is enabled (ECCCFG0.ecc_mode&gt;0), the highest 3 column address bits must map to the highest 3 valid HIF address bits.
If column bit 7 is the third highest column address bit, it must map to the third highest valid HIF address bit. (x = the highest valid HIF address bit - 2 - internal base)
if it is unused, set to 31.</t>
  </si>
  <si>
    <t>■Full bus width mode: Selects the HIF address bit used as column address bit 6.
■Half bus width mode: Selects the HIF address bit used as column address bit 7.
■Quarter bus width mode: Selects the HIF address bit used as column address bit 8.
Valid Range: 0 to 7, and 15
Internal Base: 6
The selected HIF address bit is determined by adding the internal base to the value of this field. If unused, set to 15 and then this column address bit is set to 0.</t>
  </si>
  <si>
    <t>■Full bus width mode: Selects the HIF address bit used as column address bit 2.
■Half bus width mode: Selects the HIF address bit used as column address bit 3.
■Quarter bus width mode: Selects the HIF address bit used as column address bit 4.
Valid Range: 0 to 7
Internal Base: 2
The selected HIF address bit is determined by adding the internal base to the value of this field.</t>
  </si>
  <si>
    <t>■Full bus width mode: Selects the HIF address bit used as column address bit 3.
■Half bus width mode: Selects the HIF address bit used as column address bit 4.
■Quarter bus width mode: Selects the HIF address bit used as column address bit 5.
Valid Range: 0 to 7
Internal Base: 3
The selected HIF address bit is determined by adding the internal base to the value of this field.</t>
  </si>
  <si>
    <t>■Full bus width mode: Selects the HIF address bit used as column address bit 4.
■Half bus width mode: Selects the HIF address bit used as column address bit 5.
■Quarter bus width mode: Selects the HIF address bit used as column address bit 6.
Valid Range: 0 to 7, and 15
Internal Base: 4
The selected HIF address bit is determined by adding the internal base to the value of this field. If unused, set to 15 and then this column address bit is set to 0.</t>
  </si>
  <si>
    <t>■Full bus width mode: Selects the HIF address bit used as column address bit 5.
■Half bus width mode: Selects the HIF address bit used as column address bit 6.
■Quarter bus width mode: Selects the HIF address bit used as column address bit 7 .
Valid Range: 0 to 7, and 15
Internal Base: 5
The selected HIF address bit is determined by adding the internal base to the value of this field. If unused, set to 15 and then this column address bit is set to 0.</t>
  </si>
  <si>
    <t>Selects the HIF address bits used as bank address bit 0.
Valid Range: 0 to 32 and 63
Internal Base: 2
The selected HIF address bit for each of the bank address bits is determined by adding the internal base to the value of this field.
If unused, set to 63 and then bank address bit 0 is set to 0.</t>
  </si>
  <si>
    <t>Selects the HIF address bits used as bank address bit 1.
Valid Range: 0 to 32 and 63
Internal Base: 3
The selected HIF address bit for each of the bank address bits is determined by adding the internal base to the value of this field.
If unused, set to 63 and then bank address bit 1 is set to 0.</t>
  </si>
  <si>
    <t>Selects the HIF address bit used as bank address bit 2.
Valid Range: 0 to 31 and 63
Internal Base: 4
The selected HIF address bit is determined by adding the internal base to the value of this field.
If unused, set to 63 and then bank address bit 2 is set to 0.</t>
  </si>
  <si>
    <t>■Full bus width mode: Selects the HIF address bit used as column address bit 13 (11 in LPDDR2/LPDDR3 mode).
■Half bus width mode: Unused. To make it unused, this should be tied to 4'hF.
■Quarter bus width mode: Unused. To make it unused, this must be tied to 4'hF.
Valid Range: 0 to 7, x, and 31. x indicate a valid value in inline ECC configuration.
Internal Base: 11
The selected HIF address bit is determined by adding the internal base to the value of this field.
If unused, set to 31 and then this column address bit is set to 0.</t>
  </si>
  <si>
    <t>■Full bus width mode: Selects the HIF address bit used as column address bit 11 (10 in LPDDR2/LPDDR3 mode).
■Half bus width mode: Selects the HIF address bit used as column address bit 13 (11 in LPDDR2/LPDDR3 mode).
■Quarter bus width mode: UNUSED. To make it unused, this must be tied to 4'hF.
Valid Range: 0 to 7, x, and 31. x indicate a valid value in inline ECC configuration.
Internal Base: 10
The selected HIF address bit is determined by adding the internal base to the value of this field.
If unused, set to 31 and then this column address bit is set to 0.</t>
  </si>
  <si>
    <t>Description: Selects the HIF address bit used as row address bit 11.
Valid Range: 0 to 11, and 15
Internal Base: 17
The selected HIF address bit is determined by adding the internal base to the value of this field.
If set to 15, row address bit 11 is set to 0.</t>
  </si>
  <si>
    <t>Description: Selects the HIF address bits used as row address bits 2 to 10.
Valid Range: 0 to 11
Internal Base: 8 (for row address bit 2), 9 (for row address bit 3), 10 (for row address bit 4) and so on, increasing to 16 (for row address bit 10)
The selected HIF address bit for each of the row address bits is determined by adding the internal base to the value of this field. When value 15 is used the values of row address bits 2 to 10 are defined by registers ADDRMAP9, ADDRMAP10, ADDRMAP11.</t>
  </si>
  <si>
    <t>Description: Selects the HIF address bits used as row address bit 1.
Valid Range: 0 to 11
Internal Base: 7
The selected HIF address bit for each of the row address bits is determined by adding the internal base to the value of this field.</t>
  </si>
  <si>
    <t>Description: Selects the HIF address bits used as row address bit 0.
Valid Range: 0 to 11
Internal Base: 6
The selected HIF address bit for each of the row address bits is determined by adding the internal base to the value of this field.</t>
  </si>
  <si>
    <t>device in use.
■1 - LPDDR3 SDRAM 6Gb/12Gb device in use. Every address having row[14:13]==2'b11 is considered as invalid
■0 - non-LPDDR3 6Gb/12Gb device in use. All addresses are valid
Present only in designs configured to support LPDDR3.</t>
  </si>
  <si>
    <t>Description: Selects the HIF address bit used as row address bit 15.
Valid Range: 0 to 11, and 15
Internal Base: 21
The selected HIF address bit is determined by adding the internal base to the value of this field.
If set to 15, row address bit 15 is set to 0.</t>
  </si>
  <si>
    <t>Description: Selects the HIF address bit used as row address bit 14.
Valid Range: 0 to 11, and 15
Internal Base: 20
The selected HIF address bit is determined by adding the internal base to the value of this field.
If set to 15, row address bit 14 is set to 0.</t>
  </si>
  <si>
    <t>Description: Selects the HIF address bit used as row address bit 13.
Valid Range: 0 to 11, and 15
Internal Base: 19
The selected HIF address bit is determined by adding the internal base to the value of this field.
If set to 15, row address bit 13 is set to 0.</t>
  </si>
  <si>
    <t>Description: Selects the HIF address bit used as row address bit 12.
Valid Range: 0 to 11, and 15
Internal Base: 18
The selected HIF address bit is determined by adding the internal base to the value of this field.
If set to 15, row address bit 12 is set to 0.</t>
  </si>
  <si>
    <t>Selects the HIF address bit used as row address bit 17.
Valid Range: 0 to 11, and 15
Internal Base: 23
The selected HIF address bit is determined by adding the internal base to the value of this field.
If unused, set to 15 and then row address bit 17 is set to 0.</t>
  </si>
  <si>
    <t>Selects the HIF address bit used as row address bit 16.
Valid Range: 0 to 11, and 15
Internal Base: 22
The selected HIF address bit is determined by adding the internal base to the value of this field.
If unused, set to 15 and then row address bit 16 is set to 0.</t>
  </si>
  <si>
    <t>Selects the HIF address bits used as bank group address bit 1.
Valid Range: 0 to 32, and 63
Internal Base: 3
The selected HIF address bit for each of the bank group address bits is determined by adding the internal base to the value of this field.
If unused, set to 63 and then bank group address bit 1 is set to 0.</t>
  </si>
  <si>
    <t>Selects the HIF address bits used as bank group address bit 0.
Valid Range: 0 to 32 and 63
Internal Base: 2
The selected HIF address bit for each of the bank group address bits is determined by adding the internal base to the value of this field.
If unused, set to 63 and then bank group address bit 0 is set to 0.</t>
  </si>
  <si>
    <t>0x3D400244</t>
  </si>
  <si>
    <t>#DDRC_ODTMAP</t>
  </si>
  <si>
    <t>0x3D40025C</t>
  </si>
  <si>
    <t>0x3D400264</t>
  </si>
  <si>
    <t>0x3D40026C</t>
  </si>
  <si>
    <t>0x3D40036C</t>
  </si>
  <si>
    <t>0x3D400400</t>
  </si>
  <si>
    <t>0x3D400404</t>
  </si>
  <si>
    <t>0x3D400408</t>
  </si>
  <si>
    <t>0x3D400494</t>
  </si>
  <si>
    <t>0x3D400498</t>
  </si>
  <si>
    <t>0x3D40049C</t>
  </si>
  <si>
    <t>0x3D4004A0</t>
  </si>
  <si>
    <t>#DDRC_PERFHPR1</t>
  </si>
  <si>
    <t xml:space="preserve">#DDRC_PERFLPR1 </t>
  </si>
  <si>
    <t xml:space="preserve">#DDRC_PERFWR1 </t>
  </si>
  <si>
    <t>#DDRC_DBG1</t>
  </si>
  <si>
    <t xml:space="preserve">#DDRC_POISONCFG </t>
  </si>
  <si>
    <t>#DDRC_PCCFG</t>
  </si>
  <si>
    <t>#DDRC_PCFGR_0</t>
  </si>
  <si>
    <t>#DDRC_PCFGW_0</t>
  </si>
  <si>
    <t>#DDRC_PCFGQOS0_0</t>
  </si>
  <si>
    <t>#DDRC_PCFGQOS1_0</t>
  </si>
  <si>
    <t>#DDRC_PCFGWQOS0_0</t>
  </si>
  <si>
    <t>#DDRC_PCFGWQOS1_0</t>
  </si>
  <si>
    <t>wr_odt_hold</t>
  </si>
  <si>
    <t>DFI PHY clock cycles to hold ODT for a write command. The 
minimum supported value is 2.
Recommended values:
 DDR2:
■ BL8:  0x5 (DDR2-400/533/667),  0x6 (DDR2-800),  0x7 
(DDR2-1066)
■ BL4:  0x3 (DDR2-400/533/667),  0x4 (DDR2-800),  0x5 
(DDR2-1066)
 DDR3:
■ BL8: 0x6
 DDR4: 
■ BL8: 5 + WR_PREAMBLE + CRC_MODE
   WR_PREAMBLE = 1 (1tCK write preamble),  2 (2tCK 
write preamble)
   CRC_MODE = 0 (not CRC mode),  1 (CRC mode)
 LPDDR3:
■ BL8: 7 + RU(tODTon(max)/tCK)
Value After Reset: 0x4</t>
  </si>
  <si>
    <t>DDRC_ODTCFG</t>
  </si>
  <si>
    <t>wr_odt_delay</t>
  </si>
  <si>
    <t>The delay, in DFI PHY clock cycles, from issuing a write 
command to setting ODT values associated with that 
command. ODT setting must remain constant for the entire 
time that DQS is driven by the uMCTL2.
Recommended values:
 DDR2:
■ CWL + AL - 3 (DDR2-400/533/667),  CWL + AL - 4 
(DDR2-800),  CWL + AL - 5 (DDR2-1066)
   If (CWL + AL - 3  &lt; 0),  uMCTL2 does not support ODT 
for write operation.
 DDR3:
■ 0x0
 DDR4:
■ DFITMG1.dfi_t_cmd_lat (to adjust for CAL mode) 
 LPDDR3:
■ WL - 1 - RU(tODTon(max)/tCK))
Value After Reset: 0x0</t>
  </si>
  <si>
    <t>rd_odt_hold</t>
  </si>
  <si>
    <t>DFI PHY clock cycles to hold ODT for a read command. The 
minimum supported value is 2.
Recommended values:
 DDR2:
■ BL8: 0x6 (not DDR2-1066),  0x7 (DDR2-1066)
■ BL4: 0x4 (not DDR2-1066),  0x5 (DDR2-1066)
 DDR3:
■ BL8 - 0x6
 DDR4:
■ BL8: 5 + RD_PREAMBLE
   RD_PREAMBLE = 1 (1tCK write preamble),  2 (2tCK 
write preamble)
 LPDDR3:
■ BL8:  5 + RU(tDQSCK(max)/tCK) - 
RD(tDQSCK(min)/tCK) + RU(tODTon(max)/tCK)
Value After Reset: 0x4</t>
  </si>
  <si>
    <t>rd_odt_delay</t>
  </si>
  <si>
    <r>
      <rPr>
        <b/>
        <sz val="10"/>
        <color theme="1"/>
        <rFont val="Arial"/>
        <family val="2"/>
      </rPr>
      <t xml:space="preserve">Note, this value is automatically calculated from WL and RL. </t>
    </r>
    <r>
      <rPr>
        <sz val="10"/>
        <color theme="1"/>
        <rFont val="Arial"/>
        <family val="2"/>
      </rPr>
      <t xml:space="preserve">
The delay, in DFI PHY clock cycles, from issuing a read 
command to setting ODT values associated with that 
command. ODT setting must remain constant for the entire 
time that DQS is driven by the uMCTL2.
Recommended values:
 DDR2:
■ CL + AL - 4 (not DDR2-1066),  CL + AL - 5 (DDR2-1066)
   If (CL + AL - 4 &lt; 0),  uMCTL2 does not support ODT for 
read operation.
 DDR3:
■ CL - CWL
 DDR4:
■ CL - CWL - RD_PREAMBLE + WR_PREAMBLE + 
DFITMG1.dfi_t_cmd_lat (to adjust for CAL mode)
   WR_PREAMBLE = 1 (1tCK write preamble),  2 (2tCK 
write preamble)
   RD_PREAMBLE = 1 (1tCK write preamble),  2 (2tCK 
write preamble)
   If (CL - CWL - RD_PREAMBLE + WR_PREAMBLE) &lt; 
0,  uMCTL2 does not support ODT for read operation.
 LPDDR3:
■ RL + RD(tDQSCK(min)/tCK) - 1 - RU(tODTon(max)/tCK)
Value After Reset: 0x0</t>
    </r>
  </si>
  <si>
    <t>#RESET DDRC</t>
  </si>
  <si>
    <t>0x3d400320</t>
  </si>
  <si>
    <t>0x3d4001b0</t>
  </si>
  <si>
    <t>0x8F000000</t>
  </si>
  <si>
    <t>#SRC_DDRC_RCR_ADDR</t>
  </si>
  <si>
    <t>#DDRC_SWCTL</t>
  </si>
  <si>
    <t>#DDRC_DDR_DFIMISC:12:8]dfi_freq, [5]dfi_init_start, [4]ctl_idle_en</t>
  </si>
  <si>
    <t>#########################</t>
  </si>
  <si>
    <t># DDR parameter settings</t>
  </si>
  <si>
    <t>rdwr_idle_gap</t>
  </si>
  <si>
    <t>When the preferred transaction store is empty for these many clock cycles, switch to the alternate transaction store if it is non-empty.
The read transaction store (both high and low priority) is the default preferred transaction store and the write transaction store is the alternative store.
When prefer write over read is set this is reversed.
0x0 is a legal value for this register. When set to 0x0, the transaction store switching will happen immediately when the switching conditions become true.
FOR PERFORMANCE ONLY
Value After Reset: 0x0</t>
  </si>
  <si>
    <t>DDRC_SCHED</t>
  </si>
  <si>
    <t>go2critical_hysteresis</t>
  </si>
  <si>
    <t>lpr_num_entries</t>
  </si>
  <si>
    <t>Number of entries in the low priority transaction store is this value + 1.
(MEMC_NO_OF_ENTRY - (SCHED.lpr_num_entries + 1)) is the number of entries available for the high priority transaction store.
Setting this to maximum value allocates all entries to low priority transaction store.
Setting this to 0 allocates 1 entry to low priority transaction store and the rest to high priority transaction store.
Note: In ECC configurations, the numbers of write and low priority read credits issued is one less than in the non-ECC case. One entry each is reserved in the write and low-priority read CAMs for storing the RMW requests arising out of single bit error correction RMW operation.
Value After Reset: "MEMC_NO_OF_ENTRY/2"</t>
  </si>
  <si>
    <t>pageclose</t>
  </si>
  <si>
    <t>If true, bank is kept open only while there are page hit transactions available in the CAM to that bank. The last read or write command in the CAM with a bank and page hit will be executed with auto-precharge if SCHED1.pageclose_timer=0. Even if this register set to 1 and SCHED1.pageclose_timer is set to 0, explicit precharge (and not auto-precharge) may be issued in some cases where there is a mode switch between Write and Read or between LPR and HPR. The Read and Write commands that are executed as part of the ECC scrub requests are also executed without auto-precharge.
If false, the bank remains open until there is a need to close it (to open a different page, or for page timeout or refresh timeout) - also known as open page policy. The open page policy can be overridden by setting the per-command-autopre bit on the HIF interface (hif_cmd_autopre).
The pageclose feature provids a midway between Open and Close page policies.
FOR PERFORMANCE ONLY.
Value After Reset: 0x1</t>
  </si>
  <si>
    <t>prefer_write</t>
  </si>
  <si>
    <t>If set then the bank selector prefers writes over reads.
FOR DEBUG ONLY.
Value After Reset: 0x0</t>
  </si>
  <si>
    <t>force_low_pri_n</t>
  </si>
  <si>
    <t>Active low signal. When asserted ('0'), all incoming transactions are forced to low priority. This implies that all High Priority Read (HPR) and Variable Priority Read commands (VPR) will be treated as Low Priority Read (LPR) commands. On the write side, all Variable Priority Write (VPW) commands will be treated as Normal Priority Write (NPW) commands. Forcing the incoming transactions to low priority implicitly turns off Bypass path for read commands.
FOR PERFORMANCE ONLY.
Value After Reset: 0x1</t>
  </si>
  <si>
    <t>DDRC_SCHED1</t>
  </si>
  <si>
    <t>DDRC_PERFHPR1</t>
  </si>
  <si>
    <t>DDRC_PCFGR_0</t>
  </si>
  <si>
    <t>DDRC_PCFGW_0</t>
  </si>
  <si>
    <t>DDRC_PCFGQOS0_0</t>
  </si>
  <si>
    <t>DDRC_PCFGWQOS0_0</t>
  </si>
  <si>
    <t>DDRC_PCFGWQOS1_0</t>
  </si>
  <si>
    <t>#performance optimization</t>
  </si>
  <si>
    <t>UNUSED
(default value set by IP vendor even though spec says not used)
Value After Reset: 0x0</t>
  </si>
  <si>
    <t>pageclose_timer</t>
  </si>
  <si>
    <t>This field works in conjunction with SCHED.pageclose. It only has meaning if SCHED.pageclose==1.
If SCHED.pageclose==1 and pageclose_timer==0, then an auto-precharge may be scheduled for last read or write command in the CAM with a bank and page hit. Note, sometimes an explicit precharge is scheduled instead of the auto-precharge. See SCHED.pageclose for details of when this may happen.
If SCHED.pageclose==1 and pageclose_timer&gt;0, then an auto-precharge is not scheduled for last read or write command in the CAM with a bank and page hit. Instead, a timer is started, with pageclose_timer as the initial value. There is a timer on a per bank basis. The timer decrements unless the next read or write in the CAM to a bank is a page hit. It gets reset to pageclose_timer value if the next read or write in the CAM to a bank is a page hit. Once the timer has reached zero, an explcit precharge will be attempted to be scheduled.
Value After Reset: 0x0</t>
  </si>
  <si>
    <t>lpr_xact_run_length</t>
  </si>
  <si>
    <t>Number of transactions that are serviced once the LPR queue goes critical is the smaller of:
■(a) This number
■(b) Number of transactions available.
Unit: Transaction.
FOR PERFORMANCE ONLY.
Value After Reset: 0xf</t>
  </si>
  <si>
    <t>DDRC_PERFLPR1</t>
  </si>
  <si>
    <t>lpr_max_starve</t>
  </si>
  <si>
    <t>Number of DFI clocks that the LPR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0x7f</t>
  </si>
  <si>
    <t>hpr_xact_run_length</t>
  </si>
  <si>
    <t>hpr_max_starve</t>
  </si>
  <si>
    <t>Number of transactions that are serviced once the HPR queue goes critical is the smaller of:
■(a) This number
■(b) Number of transactions available.
Unit: Transaction.
FOR PERFORMANCE ONLY.
Value After Reset: 0xf</t>
  </si>
  <si>
    <t>Number of DFI clocks that the HPR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0x1</t>
  </si>
  <si>
    <t>w_xact_run_length</t>
  </si>
  <si>
    <t>Number of transactions that are serviced once the WR queue goes critical is the smaller of:
■(a) This number
■(b) Number of transactions available.
Unit: Transaction.
FOR PERFORMANCE ONLY.
Value After Reset: 0xf</t>
  </si>
  <si>
    <t>DDRC_PERFWR1</t>
  </si>
  <si>
    <t>w_max_starve</t>
  </si>
  <si>
    <t>Number of DFI clocks that the WR queue can be starved before it goes critical. The minimum valid functional value for this register is 0x1. Programming it to 0x0 will disable the starvation functionality; during normal operation, this function should not be disabled as it will cause excessive latencies.
FOR PERFORMANCE ONLY.
Value After Reset: 0x7f</t>
  </si>
  <si>
    <t>rd_poison_intr_clr</t>
  </si>
  <si>
    <t>rd_poison_intr_en</t>
  </si>
  <si>
    <t>rd_poison_slverr_en</t>
  </si>
  <si>
    <t>wr_poison_intr_clr</t>
  </si>
  <si>
    <t>wr_poison_intr_en</t>
  </si>
  <si>
    <t>wr_poison_slverr_en</t>
  </si>
  <si>
    <t>DDRC_POISONCFG</t>
  </si>
  <si>
    <t>Interrupt clear for read transaction poisoning. Allow 2/3 clock cycles for correct value to propagate to core logic and clear the interrupts.</t>
  </si>
  <si>
    <t>If set to 1, enables interrupts for read transaction poisoning</t>
  </si>
  <si>
    <t>If set to 1, enables SLVERR response for read transaction poisoning</t>
  </si>
  <si>
    <t>Interrupt clear for write transaction poisoning. Allow 2/3 clock cycles for correct value to propagate to core logic and clear the interrupts.</t>
  </si>
  <si>
    <t>If set to 1, enables interrupts for write transaction poisoning</t>
  </si>
  <si>
    <t>If set to 1, enables SLVERR response for write transaction poisoning</t>
  </si>
  <si>
    <t>bl_exp_mode</t>
  </si>
  <si>
    <t>Burst length expansion mode. By default (i.e. bl_exp_mode==0) XPI expands every AXI burst into multiple HIF commands, using the memory burst length as a unit. If set to 1, then XPI will use half of the memory burst length as a unit. This applies to both reads and writes. When MSTR.data_bus_width==00, setting bl_exp_mode to 1 has no effect.
This can be used in cases where Partial Writes is enabled (UMCTL2_PARTIAL_WR=1), in order to avoid or minimize t_ccd_l penalty in DDR4 and t_ccd_mw penalty in LPDDR4. Hence, bl_exp_mode=1 is only recommended if DDR4 or LPDDR4.
Note that if DBICTL.dm_en=0, functionality is not supported in the following cases:
■UMCTL2_PARTIAL_WR=0
■UMCTL2_PARTIAL_WR=1, MSTR.data_bus_width=01, MEMC_BURST_LENGTH=8 and MSTR.burst_rdwr=1000 (LPDDR4 only)
■UMCTL2_PARTIAL_WR=1, MSTR.data_bus_width=01, MEMC_BURST_LENGTH=4 and MSTR.burst_rdwr=0100 (DDR4 only), with either MSTR.burstchop=0 or CRCPARCTL1.crc_enable=1
Functionality is also not supported if Data Channel Interleave is enabled
Value After Reset: 0x0</t>
  </si>
  <si>
    <t xml:space="preserve">DDRC_PCCFG </t>
  </si>
  <si>
    <t>pagematch_limit</t>
  </si>
  <si>
    <t>Page match four limit. If set to 1, limits the number of consecutive same page DDRC transactions that can be granted by the Port Arbiter to four when Page Match feature is enabled. If set to 0, there is no limit imposed on number of consecutive same page DDRC transactions.
Value After Reset: 0x0</t>
  </si>
  <si>
    <t>go2critical_en</t>
  </si>
  <si>
    <t>If set to 1 (enabled), sets co_gs_go2critical_wr and co_gs_go2critical_lpr/co_gs_go2critical_hpr signals going to DDRC based on urgent input (awurgent, arurgent) coming from AXI master. If set to 0 (disabled), co_gs_go2critical_wr and co_gs_go2critical_lpr/co_gs_go2critical_hpr signals at DDRC are driven to 1b'0.
Value After Reset: 0x0</t>
  </si>
  <si>
    <t>rdwr_ordered_en</t>
  </si>
  <si>
    <t>rd_port_pagematch_en</t>
  </si>
  <si>
    <t>rd_port_urgent_en</t>
  </si>
  <si>
    <t>rd_port_aging_en</t>
  </si>
  <si>
    <t>read_reorder_bypass_en</t>
  </si>
  <si>
    <t>rd_port_priority</t>
  </si>
  <si>
    <t>Enable ordered read/writes. If set to 1, preserves the ordering between read transaction and write transaction issued to the same address, on a given port. In other words, the controller ensures that all same address read and write commands from the application port interface are transported to the DFI interface in the order of acceptance. This feature is useful in cases where software coherency is desired for masters issuing back-to-back read/write transactions without waiting for write/read responses. Note that this register has an effect only if necessary logic is instantiated via the UMCTL2_RDWR_ORDERED_n parameter.</t>
  </si>
  <si>
    <t>If set to 1, enables the Page Match feature. If enabled, once a requesting port is granted, the port is continued to be granted if the following immediate commands are to the same memory page (same bank and same row). See also related PCCFG.pagematch_limit register.</t>
  </si>
  <si>
    <t>If set to 1, enables the AXI urgent sideband signal (arurgent). When enabled and arurgent is asserted by the master, that port becomes the highest priority and co_gs_go2critical_lpr/co_gs_go2critical_hpr signal to DDRC is asserted if enabled in PCCFG.go2critical_en register. Note that arurgent signal can be asserted anytime and as long as required which is independent of address handshaking (it is not associated with any particular command).</t>
  </si>
  <si>
    <t>If set to 1, enables aging function for the read channel of the port.</t>
  </si>
  <si>
    <t>If set to 1, read transactions with ID not covered by any of the virtual channel ID mapping registers are not reordered.</t>
  </si>
  <si>
    <t>The following registers are recommended and set by the IP vendor</t>
  </si>
  <si>
    <t>Determines the initial load value of read aging counters. These counters will be parallel loaded after reset, or after each grant to the corresponding port. The aging counters down-count every clock cycle where the port is requesting but not granted. The higher significant 5-bits of the read aging counter sets the priority of the read channel of a given port. Port's priority will increase as the higher significant 5-bits of the counter starts to decrease. When the aging counter becomes 0, the corresponding port channel will have the highest priority level (timeout condition - Priority0). For multi-port configurations, the aging counters cannot be used to set port priorities when external dynamic priority inputs (arqos) are enabled (timeout is still applicable). For single port configurations, the aging counters are only used when they timeout (become 0) to force read-write direction switching. In this case, external dynamic priority input, arqos (for reads only) can still be used to set the DDRC read priority (2 priority levels: low priority read - LPR, high priority read - HPR) on a command by command basis.
Note: The two LSBs of this register field are tied internally to 2'b00. (The value provided is set by the IP vendor)</t>
  </si>
  <si>
    <t>wr_port_pagematch_en</t>
  </si>
  <si>
    <t>If set to 1, enables the Page Match feature. If enabled, once a requesting port is granted, the port is continued to be granted if the following immediate commands are to the same memory page (same bank and same row). See also related PCCFG.pagematch_limit register.
Value After Reset: 0x1</t>
  </si>
  <si>
    <t>wr_port_urgent_en</t>
  </si>
  <si>
    <t>If set to 1, enables the AXI urgent sideband signal (awurgent). When enabled and awurgent is asserted by the master, that port becomes the highest priority and co_gs_go2critical_wr signal to DDRC is asserted if enabled in PCCFG.go2critical_en register.
Note that awurgent signal can be asserted anytime and as long as required which is independent of address handshaking (it is not associated with any particular command).
Value After Reset: 0x0</t>
  </si>
  <si>
    <t>wr_port_aging_en</t>
  </si>
  <si>
    <t>If set to 1, enables aging function for the write channel of the port.
Value After Reset: 0x0</t>
  </si>
  <si>
    <t>wr_port_priority</t>
  </si>
  <si>
    <t>Determines the initial load value of write aging counters. These counters will be parallel loaded after reset, or after each grant to the corresponding port. The aging counters down-count every clock cycle where the port is requesting but not granted. The higher significant 5-bits of the write aging counter sets the initial priority of the write channel of a given port. Port's priority will increase as the higher significant 5-bits of the counter starts to decrease. When the aging counter becomes 0, the corresponding port channel will have the highest priority level.
For multi-port configurations, the aging counters cannot be used to set port priorities when external dynamic priority inputs (awqos) are enabled (timeout is still applicable).
For single port configurations, the aging counters are only used when they timeout (become 0) to force read-write direction switching.
Note: The two LSBs of this register field are tied internally to 2'b00.
Value After Reset: 0x0</t>
  </si>
  <si>
    <t>rqos_map_region2</t>
  </si>
  <si>
    <t>This bitfield indicates the traffic class of region2.
For dual address queue configurations, region2 maps to the red address queue.
Valid values are 1: VPR and 2: HPR only.
When VPR support is disabled (UMCTL2_VPR_EN = 0) and traffic class of region2 is set to 1 (VPR), VPR traffic is aliased to LPR traffic.
Value After Reset: 0x2</t>
  </si>
  <si>
    <t>rqos_map_region1</t>
  </si>
  <si>
    <t>This bitfield indicates the traffic class of region 1.
Valid values are:
0 : LPR, 1: VPR, 2: HPR.
For dual address queue configurations, region1 maps to the blue address queue.
In this case, valid values are
0: LPR and 1: VPR only.
When VPR support is disabled (UMCTL2_VPR_EN = 0) and traffic class of region 1 is set to 1 (VPR), VPR traffic is aliased to LPR traffic.
Value After Reset: 0x0</t>
  </si>
  <si>
    <t>rqos_map_region0</t>
  </si>
  <si>
    <t>This bitfield indicates the traffic class of region 0.
Valid values are:
0: LPR, 1: VPR, 2: HPR.
For dual address queue configurations, region 0 maps to the blue address queue.
In this case, valid values are:
0: LPR and 1: VPR only.
When VPR support is disabled (UMCTL2_VPR_EN = 0) and traffic class of region0 is set to 1 (VPR), VPR traffic is aliased to LPR traffic.
Value After Reset: 0x0</t>
  </si>
  <si>
    <t>rqos_map_level2</t>
  </si>
  <si>
    <t>Separation level2 indicating the end of region1 mapping; start of region1 is (level1 + 1). Possible values for level2 are (level1 + 1) to 14 which corresponds to arqos. Region2 starts from (level2 + 1) up to 15.
Note that for PA, arqos values are used directly as port priorities, where the higher the value corresponds to higher port priority.
All of the map_level* registers must be set to distinct values.
Value After Reset: 0xe</t>
  </si>
  <si>
    <t>rqos_map_level1</t>
  </si>
  <si>
    <t>Separation level1 indicating the end of region0 mapping; start of region0 is 0. Possible values for level1 are 0 to 13 (for dual RAQ) or 0 to 14 (for single RAQ) which corresponds to arqos.
Note that for PA, arqos values are used directly as port priorities, where the higher the value corresponds to higher port priority.
All of the map_level* registers must be set to distinct values.
Value After Reset: 0x0</t>
  </si>
  <si>
    <t>rqos_map_timeoutr</t>
  </si>
  <si>
    <t>Specifies the timeout value for transactions mapped to the red address queue.
Value After Reset: 0x0</t>
  </si>
  <si>
    <t xml:space="preserve">DDRC_PCFGQOS1_0 </t>
  </si>
  <si>
    <t>rqos_map_timeoutb</t>
  </si>
  <si>
    <t>Specifies the timeout value for transactions mapped to the blue address queue.
Value After Reset: 0x0</t>
  </si>
  <si>
    <t>wqos_map_region1</t>
  </si>
  <si>
    <t>This bitfield indicates the traffic class of region 1.
Valid values are:
0: NPW, 1: VPW.
When VPW support is disabled (UMCTL2_VPW_EN = 0) and traffic class of region 1 is set to 1 (VPW), VPW traffic is aliased to NPW traffic.
Value After Reset: 0x0</t>
  </si>
  <si>
    <t>wqos_map_region0</t>
  </si>
  <si>
    <t>This bitfield indicates the traffic class of region 0.
Valid values are:
0: NPW, 1: VPW.
When VPW support is disabled (UMCTL2_VPW_EN = 0) and traffic class of region0 is set to 1 (VPW), VPW traffic is aliased to NPW traffic.
Value After Reset: 0x0</t>
  </si>
  <si>
    <t>Separation level indicating the end of region0 mapping; start of region0 is 0. Possible values for level1 are 0 to 14 which corresponds to awqos.
Note that for PA, awqos values are used directly as port priorities, where the higher the value corresponds to higher port priority.
Value After Reset: 0x0</t>
  </si>
  <si>
    <t>#DDRC_ODTCFG</t>
  </si>
  <si>
    <t>0x3D400240</t>
  </si>
  <si>
    <t>Description: Specifies the number of DFI clock cycles from the assertion of the dfi_dram_clk_disable signal on the DFI until the clock to the DRAM memory devices, at the PHY-DRAM boundary, maintains a low value.
If the DFI clock and the memory clock are not phase aligned, this timing parameter should be rounded up to the next integer value.
Value After Reset: 0x4
IP spec says this is the same as tctrl_delay.</t>
  </si>
  <si>
    <t>Only present for multi-rank configurations.
Indicates the number of clocks of gap in data responses when performing consecutive writes to different ranks.
This is used to switch the delays in the PHY to match the rank requirements. This value should consider both PHY requirement and ODT requirement.
■PHY requirement:
tphy_wrcsgap (see PHY databook for value of tphy_wrcsgap)
If CRC feature is enabled, should be increased by 1.
If write preamble is set to 2tCK(DDR4 only), should be increased by 1.
If write postamble is set to 1.5tCK(LPDDR4 only), should be increased by 1.
■ODT requirement:
The value programmed in this register takes care of the ODT switch off timing requirement when switching ranks during writes.
For LPDDR4, the requirement is ODTLoff - ODTLon - BL/2 + 1
When the controller is operating in 1:1 mode, program this to the larger of PHY requirement or ODT requirement.
When the controller is operating in 1:2 mode, program this to the larger value divided by two and round it up to the next integer.
Note that, if using DDR4-LRDIMM, refer to TWRWR timing requirements in JEDEC DDR4 Data Buffer (DDR4DB01) Specification.
Value After Reset: 0x6
Per PHY spec, tphy_wrcsgap=4. Equation automatically updated if CRC enable (add 1) and if write preamble set to 2tCK (add 1).</t>
  </si>
  <si>
    <t>Only present for multi-rank configurations.
Indicates the number of clocks of gap in data responses when performing consecutive reads to different ranks.
This is used to switch the delays in the PHY to match the rank requirements.
This value should consider both PHY requirement and ODT requirement.
■PHY requirement:
tphy_rdcsgap (see PHY databook for value of tphy_rdcsgap)
If read preamble is set to 2tCK(DDR4 only), should be increased by 1.
If read postamble is set to 1.5tCK(LPDDR4 only), should be increased by 1.
■ODT requirement:
The value programmed in this register takes care of the ODT switch off timing requirement when switching ranks during reads.
When the controller is operating in 1:1 mode, program this to the larger of PHY requirement or ODT requirement.
When the controller is operating in 1:2 mode, program this to the larger value divided by two and round it up to the next integer.
Note that, if using DDR4-LRDIMM, refer to TRDRD timing requirements in JEDEC DDR4 Data Buffer (DDR4DB01) Specification.
Value After Reset: 0x6
Per PUB databook, tphy_rdcsgap = 2, then add 1 if read postamble 2tCK</t>
  </si>
  <si>
    <t>0x3D402050</t>
  </si>
  <si>
    <t>0x3D402064</t>
  </si>
  <si>
    <t>0x3D4020DC</t>
  </si>
  <si>
    <t>0x3D4020E0</t>
  </si>
  <si>
    <t>0x3D4020E8</t>
  </si>
  <si>
    <t>0x3D4020EC</t>
  </si>
  <si>
    <t>0x3D402100</t>
  </si>
  <si>
    <t>0x3D402104</t>
  </si>
  <si>
    <t>0x3D402108</t>
  </si>
  <si>
    <t>0x3D40210C</t>
  </si>
  <si>
    <t>0x3D402110</t>
  </si>
  <si>
    <t>0x3D402114</t>
  </si>
  <si>
    <t>0x3D40211C</t>
  </si>
  <si>
    <t>0x3D402120</t>
  </si>
  <si>
    <t>0x3D402124</t>
  </si>
  <si>
    <t>0x3D40212C</t>
  </si>
  <si>
    <t>0x3D402130</t>
  </si>
  <si>
    <t>0x3D40213c</t>
  </si>
  <si>
    <t>0x3D402180</t>
  </si>
  <si>
    <t>0x3D402190</t>
  </si>
  <si>
    <t>0x3D402194</t>
  </si>
  <si>
    <t>0x3D4021B4</t>
  </si>
  <si>
    <t>0x3D4021B8</t>
  </si>
  <si>
    <t>0x3D402240</t>
  </si>
  <si>
    <t>#DDRC_FREQ1_RFSHCTL0</t>
  </si>
  <si>
    <t>#DDRC_FREQ1_RFSHTMG</t>
  </si>
  <si>
    <t>#DDRC_FREQ1_INIT3</t>
  </si>
  <si>
    <t>#DDRC_FREQ1_INIT4</t>
  </si>
  <si>
    <t>#DDRC_FREQ1_INIT6</t>
  </si>
  <si>
    <t>#DDRC_FREQ1_INIT7</t>
  </si>
  <si>
    <t>#DDRC_FREQ1_DRAMTMG0</t>
  </si>
  <si>
    <t>#DDRC_FREQ1_DRAMTMG1</t>
  </si>
  <si>
    <t>#DDRC_FREQ1_DRAMTMG2</t>
  </si>
  <si>
    <t>#DDRC_FREQ1_DRAMTMG3</t>
  </si>
  <si>
    <t>#DDRC_FREQ1_DRAMTMG4</t>
  </si>
  <si>
    <t>#DDRC_FREQ1_DRAMTMG5</t>
  </si>
  <si>
    <t>#DDRC_FREQ1_DRAMTMG7</t>
  </si>
  <si>
    <t>#DDRC_FREQ1_DRAMTMG8</t>
  </si>
  <si>
    <t>#DDRC_FREQ1_DRAMTMG9</t>
  </si>
  <si>
    <t>#DDRC_FREQ1_DRAMTMG11</t>
  </si>
  <si>
    <t>#DDRC_FREQ1_DRAMTMG12</t>
  </si>
  <si>
    <t>#DDRC_FREQ1_DRAMTMG15</t>
  </si>
  <si>
    <t>#DDRC_FREQ1_ZQCTL0</t>
  </si>
  <si>
    <t>#DDRC_FREQ1_DFITMG0</t>
  </si>
  <si>
    <t>#DDRC_FREQ1_DFITMG1</t>
  </si>
  <si>
    <t>#DDRC_FREQ1_DFITMG2</t>
  </si>
  <si>
    <t>#DDRC_FREQ1_DFITMG3</t>
  </si>
  <si>
    <t>#DDRC_FREQ1_ODTCFG</t>
  </si>
  <si>
    <t>ddrparam set</t>
  </si>
  <si>
    <t xml:space="preserve">dram_type </t>
  </si>
  <si>
    <t>data_width</t>
  </si>
  <si>
    <t xml:space="preserve">PhyVref   </t>
  </si>
  <si>
    <t xml:space="preserve">num_pstat </t>
  </si>
  <si>
    <t xml:space="preserve">train_2d  </t>
  </si>
  <si>
    <t>#DDR4=0,DDR3=1,LPDDR4=2,LPDDR3=3,DDR5=4</t>
  </si>
  <si>
    <t>#up to support 4 frequencies (Hardware Fast Frequency Change)</t>
  </si>
  <si>
    <t>#0=1D training only, 1=1D&amp;2D training</t>
  </si>
  <si>
    <t>#16bit or 32bit only</t>
  </si>
  <si>
    <t>#### DDR frequency point0 #####</t>
  </si>
  <si>
    <t xml:space="preserve">freq0 setbit </t>
  </si>
  <si>
    <t xml:space="preserve">freq0 clrbit </t>
  </si>
  <si>
    <t>freq0 chkbit1</t>
  </si>
  <si>
    <t>frequency0</t>
  </si>
  <si>
    <t>pllbypass0</t>
  </si>
  <si>
    <t>0x01000000</t>
  </si>
  <si>
    <t>#PGC_CPU_MAPPING,disable the clock gating</t>
  </si>
  <si>
    <t>#CCM_TARGET_ROOT_CLR(DRAM_SEL): clear DRAM PLL bypass bit24</t>
  </si>
  <si>
    <t>#### DDR frequency point1 #####</t>
  </si>
  <si>
    <t>csPresent</t>
  </si>
  <si>
    <t xml:space="preserve">#If the bit is set to 1, the CS is connected to DRAM. </t>
  </si>
  <si>
    <t>#If the bit is set to 0, the CS is not connected to DRAM.</t>
  </si>
  <si>
    <t>#Set CsPresent[0]   = 1 (if CS0 is populated with DRAM)</t>
  </si>
  <si>
    <t>#Set CsPresent[1]   = 1 (if CS1 is populated with DRAM)</t>
  </si>
  <si>
    <t>#Set CsPresent[2]   = 1 (if CS2 is populated with DRAM)</t>
  </si>
  <si>
    <t>#Set CsPresent[3]   = 1 (if CS3 is populated with DRAM)</t>
  </si>
  <si>
    <t>#Set CsPresent[7:4] = 0 (Reserved; must be programmed to 0)</t>
  </si>
  <si>
    <t xml:space="preserve">#Indicates presence of DRAM at each chip select for PHY. </t>
  </si>
  <si>
    <t>rdODT0</t>
  </si>
  <si>
    <t>rdODT1</t>
  </si>
  <si>
    <t>rdODT2</t>
  </si>
  <si>
    <t>rdODT3</t>
  </si>
  <si>
    <t>wrODT0</t>
  </si>
  <si>
    <t>wrODT1</t>
  </si>
  <si>
    <t>wrODT2</t>
  </si>
  <si>
    <t>wrODT3</t>
  </si>
  <si>
    <t>addrMirror</t>
  </si>
  <si>
    <t># 1 = Address Mirror.</t>
  </si>
  <si>
    <t># 0 = No Address Mirror.</t>
  </si>
  <si>
    <t># Corresponds to CS[3:0]</t>
  </si>
  <si>
    <t># The following is to configure the recommended training, it is strongly recommended not to change this</t>
  </si>
  <si>
    <t>TrainCtrl0</t>
  </si>
  <si>
    <t>0x031f</t>
  </si>
  <si>
    <t>#TrainCtrl[0] = Run DevInit - Device/phy initialization. Should always be set.</t>
  </si>
  <si>
    <t>#TrainCtrl[1] = Run WrLvl - Write leveling</t>
  </si>
  <si>
    <t>#TrainCtrl[2] = Run RxEn - Read gate training</t>
  </si>
  <si>
    <t>#TrainCtrl[3] = Run RdDQS1D - 1d read dqs training</t>
  </si>
  <si>
    <t>#TrainCtrl[4] = Run WrDQ1D - 1d write dq training</t>
  </si>
  <si>
    <t>#TrainCtrl[5] = RFU, must be zero</t>
  </si>
  <si>
    <t>#TrainCtrl[6] = RFU, must be zero</t>
  </si>
  <si>
    <t>#TrainCtrl[7] = RFU, must be zero</t>
  </si>
  <si>
    <t>#TrainCtrl[8] = Run RdDeskew - Per lane read dq deskew training</t>
  </si>
  <si>
    <t>#TrainCtrl[9] = Run MxRdLat - Max read latency training</t>
  </si>
  <si>
    <t>#TrainCtrl[11-10] = RFU, must be zero</t>
  </si>
  <si>
    <t>#TrainCtrl[12]      = Run LPCA - CA Training</t>
  </si>
  <si>
    <t>#TrainCtrl[15-13] = RFU, must be zero</t>
  </si>
  <si>
    <t># The following is for internal factory use, it is strongly recommended not to change this</t>
  </si>
  <si>
    <t>TrainInfo</t>
  </si>
  <si>
    <t>0xC8</t>
  </si>
  <si>
    <t>#0x05 = Detailed debug (e.g. eys delays)</t>
  </si>
  <si>
    <t>#0x0A = Coarse debug info (e.g. rank information)</t>
  </si>
  <si>
    <t xml:space="preserve">#0xC8 = Stage completion </t>
  </si>
  <si>
    <t>#0xC9 = Assertion messages</t>
  </si>
  <si>
    <t>#0xFF = Firmware complete</t>
  </si>
  <si>
    <t>#others = reserved</t>
  </si>
  <si>
    <t xml:space="preserve">rdPreAmbLen     </t>
  </si>
  <si>
    <t xml:space="preserve">wrPreAmbLen     </t>
  </si>
  <si>
    <t>ATxImpedance</t>
  </si>
  <si>
    <t>ODTImpedance</t>
  </si>
  <si>
    <t xml:space="preserve">TxImpedance </t>
  </si>
  <si>
    <t xml:space="preserve">extCalRes   </t>
  </si>
  <si>
    <t xml:space="preserve">WDQSExt     </t>
  </si>
  <si>
    <t xml:space="preserve">SlewRiseDQ  </t>
  </si>
  <si>
    <t xml:space="preserve">SlewFallDQ  </t>
  </si>
  <si>
    <t xml:space="preserve">SlewFallAC  </t>
  </si>
  <si>
    <t xml:space="preserve">SlewRiseAC  </t>
  </si>
  <si>
    <t>CaliInterval</t>
  </si>
  <si>
    <t xml:space="preserve">CaliOnce    </t>
  </si>
  <si>
    <t>RX2D_trainOpt</t>
  </si>
  <si>
    <t>TX2D_trainOpt</t>
  </si>
  <si>
    <t>Share_2dVref</t>
  </si>
  <si>
    <t>Delay_weight2d</t>
  </si>
  <si>
    <t>Volt_weight2d</t>
  </si>
  <si>
    <t>MR0</t>
  </si>
  <si>
    <t>MR1</t>
  </si>
  <si>
    <t>MR2</t>
  </si>
  <si>
    <t>MR3</t>
  </si>
  <si>
    <t>MR4</t>
  </si>
  <si>
    <t>MR5</t>
  </si>
  <si>
    <t>MR6</t>
  </si>
  <si>
    <t>MR0-1</t>
  </si>
  <si>
    <t>MR1-1</t>
  </si>
  <si>
    <t>MR2-1</t>
  </si>
  <si>
    <t>MR3-1</t>
  </si>
  <si>
    <t>MR4-1</t>
  </si>
  <si>
    <t>MR5-1</t>
  </si>
  <si>
    <t>MR6-1</t>
  </si>
  <si>
    <t>0x00</t>
  </si>
  <si>
    <t>0x09</t>
  </si>
  <si>
    <t>0x01</t>
  </si>
  <si>
    <t>0x7f</t>
  </si>
  <si>
    <t>0x1f</t>
  </si>
  <si>
    <t>16bit or 32bit only</t>
  </si>
  <si>
    <t>FREQ1 Clock Cycle Time (ns)</t>
  </si>
  <si>
    <t>en_2t_timing_mode</t>
  </si>
  <si>
    <t>If 1, then uMCTL2 uses 2T timing. Otherwise, uses 1T 
timing. In 2T timing, all command signals (except chip select) 
are held for 2 clocks on the SDRAM bus. Chip select is 
asserted on the second cycle of the command
Note: 2T timing is not supported in LPDDR2/LPDDR3/
LPDDR4 mode
Note: 2T timing is not supported if the configuration 
parameter MEMC_CMD_RTN2IDLE is set
Note: 2T timing is not supported in DDR4 geardown mode.
Note: 2T timing is not supported in Shared-AC dual channel 
mode and the register value is don't care.
Value After Reset: 0x0
Exists: MEMC_CMD_RTN2IDLE==0
Programming Mode: Static</t>
  </si>
  <si>
    <t>FREQ1 Setpoint Parameters (strongly recommended not to modify)</t>
  </si>
  <si>
    <t>Refer to this register's bit description previously described above</t>
  </si>
  <si>
    <t>DDRC_FREQ1_DRAMTMG0</t>
  </si>
  <si>
    <t>DDRC_FREQ1_DRAMTMG1</t>
  </si>
  <si>
    <t>DDRC_FREQ1_DRAMTMG2</t>
  </si>
  <si>
    <t>DDRC_FREQ1_DRAMTMG3</t>
  </si>
  <si>
    <t>DDRC_FREQ1_DRAMTMG4</t>
  </si>
  <si>
    <t>DDRC_FREQ1_DRAMTMG5</t>
  </si>
  <si>
    <t>DDRC0 FREQ1 Base Address (do not modify)</t>
  </si>
  <si>
    <t>3D402000</t>
  </si>
  <si>
    <t>DDRC0 FREQ2 Base Address (do not modify)</t>
  </si>
  <si>
    <t>3D403000</t>
  </si>
  <si>
    <t>DDRC_FREQ1_DRAMTMG7</t>
  </si>
  <si>
    <t>DDRC_FREQ1_DRAMTMG8</t>
  </si>
  <si>
    <t>DDRC_FREQ1_DRAMTMG9</t>
  </si>
  <si>
    <t>DDRC_FREQ1_DRAMTMG11</t>
  </si>
  <si>
    <t>DDRC_FREQ1_DRAMTMG12</t>
  </si>
  <si>
    <t>DDRC_FREQ1_DRAMTMG15</t>
  </si>
  <si>
    <t>DDR Parameters</t>
  </si>
  <si>
    <t>Do not update this value directly as this value is automatically updated from the value provided in register DDRC_INIT3 above.</t>
  </si>
  <si>
    <t>Do not update this value directly as this value is automatically updated from the value provided in register DDRC_INIT7 above.</t>
  </si>
  <si>
    <t>Do not update this value directly as this value is automatically updated from the value provided in register DDRC_INIT4 above.</t>
  </si>
  <si>
    <t>Do not update this value directly as this value is automatically updated from the value provided in register DDRC_INIT6 above.</t>
  </si>
  <si>
    <t>Indicates presence of DRAM at each chip select for PHY. (e.g. 0x3 means CS0 and CS1 are used, 0x1 means only CS0 is used)</t>
  </si>
  <si>
    <t>DDRC_FREQ1_RFSHCTL0</t>
  </si>
  <si>
    <t>DDRC_FREQ1_RFSHTMG</t>
  </si>
  <si>
    <t>DDRC_FREQ1_ZQCTL0</t>
  </si>
  <si>
    <t>DDRC_FREQ1_DFITMG0</t>
  </si>
  <si>
    <t>DDRC_FREQ1_DFITMG1</t>
  </si>
  <si>
    <t>DDRC_FREQ1_DFITMG2</t>
  </si>
  <si>
    <t>DDRC_FREQ1_DFITMG3</t>
  </si>
  <si>
    <t>DDRC_FREQ1_ODTCFG</t>
  </si>
  <si>
    <t>DDRC_FREQ1_INIT3</t>
  </si>
  <si>
    <t>DDRC_FREQ1_INIT4</t>
  </si>
  <si>
    <t>DDRC_FREQ1_INIT6</t>
  </si>
  <si>
    <t>DDRC_FREQ1_INIT7</t>
  </si>
  <si>
    <t>FREQ1 setting. Do not update this value directly as this value is automatically updated from the value provided in register DDRC_INIT3 above.</t>
  </si>
  <si>
    <t>FREQ1 setting. Do not update this value directly as this value is automatically updated from the value provided in register DDRC_INIT4 above.</t>
  </si>
  <si>
    <t>FREQ1 setting. Do not update this value directly as this value is automatically updated from the value provided in register DDRC_INIT6 above.</t>
  </si>
  <si>
    <t>FREQ1 setting. Do not update this value directly as this value is automatically updated from the value provided in register DDRC_INIT7 above.</t>
  </si>
  <si>
    <t>PhyVref</t>
  </si>
  <si>
    <t>Initial value used for VREF. The value is updated following data training.</t>
  </si>
  <si>
    <t>Read preamble length</t>
  </si>
  <si>
    <t>Write preamble length</t>
  </si>
  <si>
    <t>Indicates the configuration of the device used in the system.
■00 - x4 device
■01 - x8 device
■10 - x16 device
■11 - x32 device
Value After Reset: 0x0</t>
  </si>
  <si>
    <t xml:space="preserve">extCalRes     </t>
  </si>
  <si>
    <t>External pull-down resistor value in Ohm (recommend to set to 0 for normal operation)</t>
  </si>
  <si>
    <t>Certain DRAM implementations are known to implement a clock divider circuit (clocked by DQS_T, DQS_C) to enable operating the internal receive data path at quarter bit-rate frequencies. As such, it requries that the Write DQS Extension be enabled. Eventually, this may be defaulted as enabled, but for now it is disabled.</t>
  </si>
  <si>
    <t>Pull-up slew rate control for DBYTE Tx. Value specified here will be applied directly to TxSlewRate. For optimal operation, recommend to set to 0x0f.</t>
  </si>
  <si>
    <t>Pull-down slew rate control for DBYTE Tx. Value specified here will be applied directly to TxSlewRate. For optimal operation, recommend to set to 0x0f.</t>
  </si>
  <si>
    <t>Pull-up slew rate control for ANIB Tx. Value specified here will be applied directly to ATxSlewRate. For optimal operation, recommend to set to 0x0f.</t>
  </si>
  <si>
    <t>Pull-down slew rate control for ANIB Tx. Value specified here will be applied directly to ATxSlewRate. For optimal operation, recommend to set to 0x0f.</t>
  </si>
  <si>
    <t>Specifies the interval between successive calibrations, in mS (0= continuous,1= 0.01, 2=0.10, 3=1, 4=2, 5=3, 6=4, 7=8, 8=10, 9=20, other reserved). Recommend to set this to 0x9.</t>
  </si>
  <si>
    <t xml:space="preserve">CaliOnce   </t>
  </si>
  <si>
    <t>This setting changes the behaviour of CSR CalRun (1: The 0-&gt;1 transition of CSR CalRun causes a single iteration of the calibration sequence to occur, 0: Calibration will proceed at the rate determined by CSR CaliInterval). Recommend to set this to 0.</t>
  </si>
  <si>
    <t>Write Driver Impedance for DQ/DQS in ohm (Valid values for all DramType = 240, 120, 80, 60, 48, 40, 34) - aka drive strength for data/DQS bus</t>
  </si>
  <si>
    <t>Atx</t>
  </si>
  <si>
    <t>ODT</t>
  </si>
  <si>
    <t>Tx</t>
  </si>
  <si>
    <t>Write Driver Impedance for Address/Command (AC) bus in ohm (Valid values for all DramType = 120, 60, 40, 30, 24, 20) - aka drive strength for address/command bus</t>
  </si>
  <si>
    <t>The user can adjust the following parameters based on their board's layout parameters</t>
  </si>
  <si>
    <t xml:space="preserve">Do not update this value directly as this value is automatically updated from the value provided at the top of this work sheet. Write Driver Impedance for Address/Command (AC) bus in ohm (Valid values for all DramType = 120, 60, 40, 30, 24, 20) - aka drive strength for address/command bus </t>
  </si>
  <si>
    <t>Do not update this value directly as this value is automatically updated from the value provided at the top of this work sheet. Write Driver Impedance for DQ/DQS in ohm (Valid values for all DramType = 240, 120, 80, 60, 48, 40, 34) - aka drive strength for data/DQS bus</t>
  </si>
  <si>
    <t>Address Mirroring Enable (for multi-rank DDR4 implementations). Option for DDR4 to implement address mirroring for odd ranks, which means that the following address, bank address and bank group bits are swapped: (A3, A4), (A5, A6), (A7, A8), (BA0, BA1) and also (A11, A13), (BG0, BG1) for the DDR4. Setting this bit ensures that, for mode register accesses during the automatic initialization routine, these bits are swapped within the uMCTL2 to compensate for this swapping. The feature is taken from DIMMCTL.dimm_addr_mirr_en above.
This values corresponds to the chip select for which address mirroring is applied. For this IP, address mirroring is applied to the odd rank (chip select), in this case, when enabled, applies to CS1, hence, when enabled, this value should be 0x2.</t>
  </si>
  <si>
    <t>This setting allows the user to select the number of frequency setpoints to include for the Hardware Fast Frequency Change.</t>
  </si>
  <si>
    <t>Number of frequency setpoints</t>
  </si>
  <si>
    <r>
      <rPr>
        <b/>
        <sz val="10"/>
        <rFont val="Arial"/>
        <family val="2"/>
      </rPr>
      <t>Enable/disable 2D training</t>
    </r>
    <r>
      <rPr>
        <sz val="10"/>
        <rFont val="Arial"/>
        <family val="2"/>
      </rPr>
      <t xml:space="preserve">
</t>
    </r>
  </si>
  <si>
    <t>This setting allows user to enable (1) or disable (0) 2D training.</t>
  </si>
  <si>
    <t>Address Mirroring Enable</t>
  </si>
  <si>
    <t>Other features, normally not changed</t>
  </si>
  <si>
    <t xml:space="preserve">There are also other options to enable or disable, and settings to choose as shown below: </t>
  </si>
  <si>
    <r>
      <t>The following refers to the "</t>
    </r>
    <r>
      <rPr>
        <i/>
        <sz val="11"/>
        <rFont val="Calibri"/>
        <family val="2"/>
      </rPr>
      <t>DDR stress test file</t>
    </r>
    <r>
      <rPr>
        <sz val="11"/>
        <rFont val="Calibri"/>
        <family val="2"/>
      </rPr>
      <t>" Worksheet tab.  In this tab, the entire DRAM initialization  can be obtained.  This initialization can be used with the DDR Stress Test tool.</t>
    </r>
  </si>
  <si>
    <t xml:space="preserve">Step 2. Update the Device Information table to include the DRAM information and system usage. </t>
  </si>
  <si>
    <t>Step 4. Go to the "DDR stress test file" Worksheet tab and copy and paste this into a text document (make sure to rename the document with a “.ds” file ending); this is ready to use with the DDR Stress Test. See additional note below.</t>
  </si>
  <si>
    <t>Description: Write latency
Number of clocks from the write command to write data enable (dfi_wrdata_en). This corresponds to the DFI timing parameter tphy_wrlat.
Refer to PHY specification for correct value.
This field is automatically updated.
Value After Reset: 0x2
Per PUB databook, should be WL-5</t>
  </si>
  <si>
    <t>0x8F000004</t>
  </si>
  <si>
    <t>second value specifically for DDR4 to disable auto-refresh prior to data training; will be re-enabled after training</t>
  </si>
  <si>
    <t>0x8F00003F</t>
  </si>
  <si>
    <t>#SRC_DDRC_RCR_ADDR: assert [0]ddr1_preset_n, [1]ddr1_core_reset_n, [2]ddr1_phy_reset, [3]ddr1_phy_pwrokin_n, [4]src_system_rst_b!</t>
  </si>
  <si>
    <t>0x8F00000F</t>
  </si>
  <si>
    <t>#SRC_DDRC_RCR_ADDR: deassert [4]src_system_rst_b!</t>
  </si>
  <si>
    <t>#DRAM_APB_CLK_ROOT_CLR</t>
  </si>
  <si>
    <t>#DRAM_APB_CLK_ROOT_SET, dram_apb_clk_root set to source 4 --800MHz/4</t>
  </si>
  <si>
    <t>0x30360054</t>
  </si>
  <si>
    <t>0x30360058</t>
  </si>
  <si>
    <t>#DRAM_PLL_FDIV_CTL1: pll_dsm=0</t>
  </si>
  <si>
    <t xml:space="preserve">memory setbit </t>
  </si>
  <si>
    <t>0x30360050</t>
  </si>
  <si>
    <t xml:space="preserve">0x200 </t>
  </si>
  <si>
    <t>#DRAM_PLL_GNRL_CTL: pll_rst = 1</t>
  </si>
  <si>
    <t xml:space="preserve">memory clrbit </t>
  </si>
  <si>
    <t xml:space="preserve">0x10 </t>
  </si>
  <si>
    <t>#DRAM_PLL_GNRL_CTL: pll_bypass = 0</t>
  </si>
  <si>
    <t>#DRAM_PLL_GNRL_CTL: check pll_lock=1?</t>
  </si>
  <si>
    <t>0x8F000006</t>
  </si>
  <si>
    <t>freq0 set</t>
  </si>
  <si>
    <t xml:space="preserve">freq0 set </t>
  </si>
  <si>
    <t xml:space="preserve">0x30389808 </t>
  </si>
  <si>
    <t>Desired ODT impedance in Ohm (Valid values for DDR4 = 240, 120, 80, 60, 48, 40, Valid values for DDR3L = high-impedance, 120, 60, 40, Valid values for LPDDR4 = 240, 120, 80, 60, 40)</t>
  </si>
  <si>
    <t>Do not update this value directly as this value is automatically updated from the value provided at the top of this work sheet. Desired ODT impedance in Ohm (Valid values for DDR4 = 240, 120, 80, 60, 48, 40, Valid values for DDR3L = high-impedance, 120, 60, 40, Valid values for LPDDR4 = 240, 120, 80, 60, 40)</t>
  </si>
  <si>
    <t>0x05</t>
  </si>
  <si>
    <t># The RPA provides the DRAM_PLL_FDIV_CTL0 register (0x30360054) setting for 1200Mhz (0x12C032).</t>
  </si>
  <si>
    <t># For frequencies other than 1200Mhz, it is up to the user to create the appropriate register setting for the desired frequency.</t>
  </si>
  <si>
    <t># Formula is DDR_freq = [(24MHz x pll_main_div)/(pll_pre_div x 2^pll_post_div)] x 2</t>
  </si>
  <si>
    <t>################step 0: configure debug uart port. Assumes use of UART IO Pads.   #####</t>
  </si>
  <si>
    <t>##### If using non-UART pads (i.e. using other pads to mux out the UART signals), #####</t>
  </si>
  <si>
    <t>##### then it is up to the user to overwrite the following IO register settings   #####</t>
  </si>
  <si>
    <t xml:space="preserve">0x00000000 </t>
  </si>
  <si>
    <t xml:space="preserve">sysparam set </t>
  </si>
  <si>
    <t xml:space="preserve">debug_uart </t>
  </si>
  <si>
    <t>#UART index from 0 ('0' = UART1, '1' = UART2, '2' = UART3, '3' = UART4)</t>
  </si>
  <si>
    <r>
      <rPr>
        <b/>
        <sz val="10"/>
        <rFont val="Arial"/>
        <family val="2"/>
      </rPr>
      <t>Debug UART port</t>
    </r>
    <r>
      <rPr>
        <sz val="10"/>
        <rFont val="Arial"/>
        <family val="2"/>
      </rPr>
      <t xml:space="preserve">
Assumes use UART pad for UART function, not mux'd on other pads</t>
    </r>
  </si>
  <si>
    <t xml:space="preserve">
It is important that the user must make sure to copy all of the contents from the DDR stress test file worksheet tab.  One recommended method to ensure that all of the contents are selected before copying is to click on the arrow in the upper left hand corner of this sheet between row 1 and column A as shown below.    
</t>
  </si>
  <si>
    <t>NXP DDR4 EVK</t>
  </si>
  <si>
    <t>DDRC_FREQ1_RANKCTL</t>
  </si>
  <si>
    <t>0x3D4020F4</t>
  </si>
  <si>
    <t>#DDRC_FREQ1_RANKCTL</t>
  </si>
  <si>
    <t>READ Latency (CL), based on speed bin of device you're using</t>
  </si>
  <si>
    <t>update DDRC_DRAMTMG2 READ_LATENCY below</t>
  </si>
  <si>
    <t>frequency1</t>
    <phoneticPr fontId="28" type="noConversion"/>
  </si>
  <si>
    <t>pllbypass1</t>
    <phoneticPr fontId="28" type="noConversion"/>
  </si>
  <si>
    <t>#DRAM_PLL_FDIV_CTL0:pll_main_div = 266, pll_pre_div = 3, pll_post_div = 3</t>
    <phoneticPr fontId="28" type="noConversion"/>
  </si>
  <si>
    <t>Initial based on 845</t>
    <phoneticPr fontId="28" type="noConversion"/>
  </si>
  <si>
    <t>MT40A1G16RC-062E:B</t>
    <phoneticPr fontId="2" type="noConversion"/>
  </si>
  <si>
    <t>0x5B</t>
    <phoneticPr fontId="2" type="noConversion"/>
  </si>
  <si>
    <t>Note, if using a non-1600MHz DDR frequency, then you'll need to manually</t>
    <phoneticPr fontId="2" type="noConversion"/>
  </si>
  <si>
    <t>sysparam set</t>
    <phoneticPr fontId="28" type="noConversion"/>
  </si>
  <si>
    <t>fw_version</t>
    <phoneticPr fontId="28" type="noConversion"/>
  </si>
  <si>
    <t>freq0 setbit</t>
    <phoneticPr fontId="28" type="noConversion"/>
  </si>
  <si>
    <t>freq0 clrbit</t>
  </si>
  <si>
    <t>0x200</t>
  </si>
  <si>
    <t>#DRAM_PLL_GNRL_CTL: pll_rst = 0</t>
  </si>
  <si>
    <t>#DRAM_PLL_FDIV_CTL0:pll_main_div = 400, pll_pre_div = 3, pll_post_div = 2</t>
    <phoneticPr fontId="28" type="noConversion"/>
  </si>
  <si>
    <t>#DRAM_PLL_FDIV_CTL0: For 1600MHz, pll_main_div = 400, pll_pre_div = 3, pll_post_div = 2</t>
    <phoneticPr fontId="28" type="noConversion"/>
  </si>
  <si>
    <r>
      <t>N</t>
    </r>
    <r>
      <rPr>
        <b/>
        <sz val="10"/>
        <color theme="1"/>
        <rFont val="Arial"/>
        <family val="2"/>
      </rPr>
      <t xml:space="preserve">ote, the default value in this tool is calculated based on the 3600 speed grade and the DDR4 device density provided in the Device Information table above.  Per JEDEC, this is tRFC4(min)+10ns
</t>
    </r>
    <r>
      <rPr>
        <sz val="10"/>
        <color theme="1"/>
        <rFont val="Arial"/>
        <family val="2"/>
      </rPr>
      <t>tXS_FAST: Exit Self Refresh to ZQCL, ZQCS and MRS (only CL, WR, RTP and Geardown mode).
When the controller is operating in 1:2 frequency ratio mode, program this to the above value divided by 2 and round up to next integer value.
Unit: Multiples of 32 clocks.
Note: This is applicable to only ZQCL/ZQCS commands.
Note: Ensure this is less than or equal to t_xs_x32.
Value After Reset: 0x3</t>
    </r>
    <phoneticPr fontId="2" type="noConversion"/>
  </si>
  <si>
    <r>
      <rPr>
        <b/>
        <sz val="10"/>
        <color theme="1"/>
        <rFont val="Arial"/>
        <family val="2"/>
      </rPr>
      <t>Note, the default value in this tool is calculated based on the 3600 speed grade and the DDR4 device density provided in the Device Information table above.  Per JEDEC, this is tRFC4(min)+10ns</t>
    </r>
    <r>
      <rPr>
        <sz val="10"/>
        <color theme="1"/>
        <rFont val="Arial"/>
        <family val="2"/>
      </rPr>
      <t xml:space="preserve">
tXS_ABORT: Exit Self Refresh to commands not requiring a locked DLL in Self Refresh Abort.
When the controller is operating in 1:2 frequency ratio mode, program this to the above value divided by 2 and round up to next integer value.
Unit: Multiples of 32 clocks.
Note: Ensure this is less than or equal to t_xs_x32.
Value After Reset: 0x3
Exists: MEMC_DDR4==1</t>
    </r>
    <phoneticPr fontId="2" type="noConversion"/>
  </si>
  <si>
    <t>0x0f</t>
    <phoneticPr fontId="2" type="noConversion"/>
  </si>
  <si>
    <t>0x0d</t>
    <phoneticPr fontId="2" type="noConversion"/>
  </si>
  <si>
    <t xml:space="preserve">i.MX8MP (865) DDR Controller Configuration Spreadsheet </t>
    <phoneticPr fontId="2" type="noConversion"/>
  </si>
  <si>
    <t>0x00000016</t>
    <phoneticPr fontId="28" type="noConversion"/>
  </si>
  <si>
    <t>0x3D400250</t>
  </si>
  <si>
    <t>0x3D400254</t>
    <phoneticPr fontId="28" type="noConversion"/>
  </si>
  <si>
    <t>#DDRC_SCHED</t>
  </si>
  <si>
    <t>#DDRC_SCHED1</t>
    <phoneticPr fontId="28" type="noConversion"/>
  </si>
  <si>
    <t>In-line ECC configuration worksheet for binary-aligned densities: this is the preferred density type to ensure a continuous LPDDR4 memory map.</t>
  </si>
  <si>
    <t>This worksheet configures the granularity of each protectable region and which of these regions are protected.</t>
  </si>
  <si>
    <t>Enabling of ECC is performed in the Register Configuration tab.</t>
  </si>
  <si>
    <t>Instructions:</t>
  </si>
  <si>
    <r>
      <t xml:space="preserve">1. For </t>
    </r>
    <r>
      <rPr>
        <sz val="10"/>
        <color rgb="FF0070C0"/>
        <rFont val="Arial"/>
        <family val="2"/>
      </rPr>
      <t>required user input</t>
    </r>
    <r>
      <rPr>
        <sz val="10"/>
        <rFont val="Arial"/>
        <family val="2"/>
      </rPr>
      <t>, select desired settings in cells with color:</t>
    </r>
  </si>
  <si>
    <r>
      <t xml:space="preserve">2. </t>
    </r>
    <r>
      <rPr>
        <b/>
        <sz val="10"/>
        <rFont val="Arial"/>
        <family val="2"/>
      </rPr>
      <t>Note</t>
    </r>
    <r>
      <rPr>
        <sz val="10"/>
        <rFont val="Arial"/>
        <family val="2"/>
      </rPr>
      <t>: if ECC is enabled in Register Configuration then at least one ECC region must be PROTECTED else an error is incurred</t>
    </r>
  </si>
  <si>
    <t>3. Settings in the Register Configuration tab are automatically updated from this worksheet</t>
  </si>
  <si>
    <t>USER INPUT REQUIRED</t>
  </si>
  <si>
    <t>Select desired ECC granularity region size: 1/8 (div-by-8), 1/16 (div-by-16), 1/32 (div-by-32), or 1/64 (div-by-64)</t>
  </si>
  <si>
    <t>ECC Region (div-by-):</t>
  </si>
  <si>
    <t>ECC Parity Region Section</t>
  </si>
  <si>
    <t>Start Address of each ECC Parity Region Section</t>
  </si>
  <si>
    <t>Density of each ECC Parity Region Section</t>
  </si>
  <si>
    <t>ECC Parity Region Section memory attributes</t>
  </si>
  <si>
    <r>
      <rPr>
        <b/>
        <u/>
        <sz val="9"/>
        <rFont val="Arial"/>
        <family val="2"/>
      </rPr>
      <t>ECC parity region space</t>
    </r>
    <r>
      <rPr>
        <b/>
        <sz val="9"/>
        <rFont val="Arial"/>
        <family val="2"/>
      </rPr>
      <t xml:space="preserve"> 
Each memory section memory may be user accessible depending on the corresponding region's ECC protection scheme. Attempting to access an inaccessible section will result in a data abort.</t>
    </r>
  </si>
  <si>
    <t>Always user accessible</t>
  </si>
  <si>
    <t>ACCESSIBLE</t>
  </si>
  <si>
    <t>Configure each configurable Main Memory Region as ECC PROTECTED or UNPROTECTED</t>
  </si>
  <si>
    <t>Main Memory Region</t>
  </si>
  <si>
    <t>Start Address of each Main Memory Region</t>
  </si>
  <si>
    <t>Density of each Main Memory Region</t>
  </si>
  <si>
    <t>User Input
ECC Protection Configuration for each Main Memory Region</t>
  </si>
  <si>
    <r>
      <rPr>
        <b/>
        <u/>
        <sz val="10"/>
        <rFont val="Arial"/>
        <family val="2"/>
      </rPr>
      <t>Main Memory Region Space</t>
    </r>
    <r>
      <rPr>
        <b/>
        <sz val="10"/>
        <rFont val="Arial"/>
        <family val="2"/>
      </rPr>
      <t xml:space="preserve">
Each memory section may be configured as ECC protected or unprotected</t>
    </r>
  </si>
  <si>
    <t>PROTECTED</t>
  </si>
  <si>
    <t>Region6</t>
  </si>
  <si>
    <t>Region5</t>
  </si>
  <si>
    <t>Region4</t>
  </si>
  <si>
    <t>Region3</t>
  </si>
  <si>
    <t>Region2</t>
  </si>
  <si>
    <t>Region1</t>
  </si>
  <si>
    <t>Region0</t>
  </si>
  <si>
    <t xml:space="preserve">Total DRAM density: </t>
  </si>
  <si>
    <t>Note: 'other' region is the remaining Main Memory Region for ECC granularity settings of 1/16, 1/32, and 1/64 (protect/unprotect configuration is a don't care for 1/8 setting)</t>
  </si>
  <si>
    <t>ECC region details: Informational &amp; Register Configuration purposes only, no user configurable settings below</t>
  </si>
  <si>
    <t>In decimal format</t>
  </si>
  <si>
    <t>In "MB" format</t>
  </si>
  <si>
    <t>In 9-digit HEX format</t>
  </si>
  <si>
    <t>Total DRAM density calculated from Register Configuration
(Note to user, make sure you filled out the Device Information table correctly or else all subsequent settings will be incorrect):</t>
  </si>
  <si>
    <t>Density of ECC region (where ECC is stored, always 1/8 of total density at the top of the DDR memory map)</t>
  </si>
  <si>
    <t>Density for each "ECC protectable" Region based on ECC granularity setting (ECC_REGION_MAP_GRANU)</t>
  </si>
  <si>
    <t>Density of remaining "other" DRAM region when ECC granularity is 1/16, 1/32, or 1/64 (0 when 1/8)
Calculation:
Total DRAM density - ECC region (1/8 total density) - 7*(ECC Region size)</t>
  </si>
  <si>
    <t xml:space="preserve">Below is to assist in calculating address map values for each region </t>
  </si>
  <si>
    <t>Base address of DDR memory map:</t>
  </si>
  <si>
    <t>ECC Parity Region Calculation</t>
  </si>
  <si>
    <t>ECC Parity Region: "always accessible" section size</t>
  </si>
  <si>
    <t>ECC Parity Region: "other" section size</t>
  </si>
  <si>
    <t>ECC Parity Region: "each of the 7 protectable regions" section size</t>
  </si>
  <si>
    <t>ECC Parity Region:absolute address of "always accessbile" section</t>
  </si>
  <si>
    <t>ECC Parity Region:absolute address of "other" section</t>
  </si>
  <si>
    <t>ECC Parity Region:absolute address of "region 6" section</t>
  </si>
  <si>
    <t>ECC Parity Region:absolute address of "region 5" section</t>
  </si>
  <si>
    <t>ECC Parity Region:absolute address of "region 4" section</t>
  </si>
  <si>
    <t>ECC Parity Region:absolute address of "region 3" section</t>
  </si>
  <si>
    <t>ECC Parity Region:absolute address of "region 2" section</t>
  </si>
  <si>
    <t>ECC Parity Region:absolute address of "region 1" section</t>
  </si>
  <si>
    <t>ECC Parity Region:absolute address of "region 0" section</t>
  </si>
  <si>
    <t>ECC Register Configuration settings:</t>
  </si>
  <si>
    <t xml:space="preserve">ECC_REGION_MAP_GRANU setting: </t>
  </si>
  <si>
    <t xml:space="preserve">ECC_REGION_MAP_OTHER setting: </t>
  </si>
  <si>
    <t xml:space="preserve">ECC_REGION_MAP[6] setting: </t>
  </si>
  <si>
    <t xml:space="preserve">ECC_REGION_MAP[5] setting: </t>
  </si>
  <si>
    <t xml:space="preserve">ECC_REGION_MAP[4] setting: </t>
  </si>
  <si>
    <t xml:space="preserve">ECC_REGION_MAP[3] setting: </t>
  </si>
  <si>
    <t xml:space="preserve">ECC_REGION_MAP[2] setting: </t>
  </si>
  <si>
    <t xml:space="preserve">ECC_REGION_MAP[1] setting: </t>
  </si>
  <si>
    <t xml:space="preserve">ECC_REGION_MAP[0] setting: </t>
  </si>
  <si>
    <t xml:space="preserve">Sum of ECC Regions[6:0]: </t>
  </si>
  <si>
    <t xml:space="preserve">ECC_REGION_MAP setting: </t>
  </si>
  <si>
    <t>If in-line ECC is enabled, go to ECC_Config worksheet to configure ECC options</t>
  </si>
  <si>
    <t>Inline ECC</t>
  </si>
  <si>
    <t>ECC_REGION_MAP_GRANU</t>
  </si>
  <si>
    <r>
      <t xml:space="preserve">Granularity of Selectable Protected Region.
Define one region size for ECCCFG0.ecc_region_map
</t>
    </r>
    <r>
      <rPr>
        <sz val="7"/>
        <color rgb="FF000000"/>
        <rFont val="ZapfDingbats"/>
      </rPr>
      <t xml:space="preserve">■ </t>
    </r>
    <r>
      <rPr>
        <sz val="10"/>
        <color rgb="FF000000"/>
        <rFont val="Helvetica"/>
      </rPr>
      <t xml:space="preserve">0 - 1/8 of memory spaces
</t>
    </r>
    <r>
      <rPr>
        <sz val="7"/>
        <color rgb="FF000000"/>
        <rFont val="ZapfDingbats"/>
      </rPr>
      <t xml:space="preserve">■ </t>
    </r>
    <r>
      <rPr>
        <sz val="10"/>
        <color rgb="FF000000"/>
        <rFont val="Helvetica"/>
      </rPr>
      <t xml:space="preserve">1 - 1/16 of memory spaces
</t>
    </r>
    <r>
      <rPr>
        <sz val="7"/>
        <color rgb="FF000000"/>
        <rFont val="ZapfDingbats"/>
      </rPr>
      <t xml:space="preserve">■ </t>
    </r>
    <r>
      <rPr>
        <sz val="10"/>
        <color rgb="FF000000"/>
        <rFont val="Helvetica"/>
      </rPr>
      <t xml:space="preserve">2 - 1/32 of memory spaces
</t>
    </r>
    <r>
      <rPr>
        <sz val="7"/>
        <color rgb="FF000000"/>
        <rFont val="ZapfDingbats"/>
      </rPr>
      <t xml:space="preserve">■ </t>
    </r>
    <r>
      <rPr>
        <sz val="10"/>
        <color rgb="FF000000"/>
        <rFont val="Helvetica"/>
      </rPr>
      <t>3 - 1/64 of memory spaces</t>
    </r>
  </si>
  <si>
    <t>DDRC_ECCCFG0</t>
  </si>
  <si>
    <t>0x3D400070</t>
  </si>
  <si>
    <t>ECC_REGION_MAP_OTHER</t>
  </si>
  <si>
    <t>When ECCCFG0.ecc_region_map_granu&gt;0, there is a region which is not controlled by ecc_region_map. This register defines the region to be protected or non-protected for Inline ECC.
■ 0 - Non-Protected
■ 1 - Protected
This register is valid only when ECCCFG0.ecc_region_map_granu&gt;0 &amp;&amp;
ECCCFG0.ecc_mode=4.</t>
  </si>
  <si>
    <t>ECC_AP_ERR_THRESHOLD</t>
  </si>
  <si>
    <t>Set threshold for address parity error.
ECCAPSTAT.ecc_ap_err is asserted if number of ECC errors
(correctable/uncorrectable) within one burst exceeds this
threshold.
This register value must be less than "Total number of ECC
checks within one burst" when this feature is used,
"Total number of ECC check within one burst" is calculated by
(DRAM Data width) x (DRAM BL) / 64.
Value After Reset: "MEMC_MAX_INLINE_ECC_PER_BURST/2-1"</t>
  </si>
  <si>
    <t>BLK_CHANNEL_IDLE_TIME_X32</t>
  </si>
  <si>
    <t>Indicates the number of cycles on HIF interface with no access
to protected regions which will cause flush of all the block
channels. In order to flush block channel, uMCTL2 injects write
ECC command (when there is no incoming HIF command) if
there is any write in the block and then stop tracking the block
address.
■ 0 indicates no timeout (feature is disabled, not supported
with this version)
■ 1 indicates 32 cycles
■ 2 indicates 2*32 cycles, etc.
Unit: Multiples of 32 DFI clock cycles.
Please refer to "Note 1" from "Notes on Timing Registers" at
the start of "Register Descriptions" chapter for details on how
to program this register field.
Value After Reset: 0x3f</t>
  </si>
  <si>
    <t>ECC_REGION_MAP</t>
  </si>
  <si>
    <t>Selectable Protected Region setting. Memory space is divided
to 8/16/32/64 regions which is determined by
ECCCFG1.ecc_region_map_granu.
Note: Highest 1/8 memory space is always ECC region.
Lowest 7 regions are Selectable Protected Regions. The
Selectable Protected Regions can be protected/non-protected
selectively by ECCCFG0.ecc_region_map[6:0]. Other upper
regions are non-protected region if any. Each bit of
ECCCFG0.ecc_region_map[6:0] correspond to each of lowest
7 regions respectively.
In order to protect a region with ECC, set the corresponding
bit to 1, otherwise set to 0. All "0"s is invalid - there must be at
least one protected region if inline ECC is enabled via
ECCCFG0.ecc_mode register.
All regions are protected with the following setting.
■ ecc_region_map=7'b1111111
■ ecc_region_map_granu=0
Only first 1/64 region is protected with the following setting.
■ ecc_region_map=7'b0000001
■ ecc_region_map_granu=3
Value After Reset: 0x7f</t>
  </si>
  <si>
    <t>ECC_REGION_REMAP_EN</t>
  </si>
  <si>
    <t>Enables remapping ECC region feature.
Only supported when inline ECC is enabled.
■ 0 - Disable
■ 1 - Enable
Value After Reset: 0x0
In this design implementation, tt is required to disable this (leave at default) and to not allow any accesses to the ECC region at the top 1/8 of memory.</t>
  </si>
  <si>
    <t>ECC_AP_EN</t>
  </si>
  <si>
    <t>Enable address protection feature. Only supported when inline
ECC is enabled.
■ 0: disable
■ 1: enable
Value After Reset: 0x1</t>
  </si>
  <si>
    <t>ECC_TYPE</t>
  </si>
  <si>
    <t xml:space="preserve">The original intent of this bit field was to select between which type of ECC is desired when both Sideband ECC and Inline ECC are supported in the same Hardware configuration. However, in this specific Hardware configuration, only Inline ECC is supported, therefore this bit field is not programmable and is considered reserved.  Reads of this bit field will return 0.  Hence, when ECC is enabled, it will always be configured as Inline ECC. </t>
  </si>
  <si>
    <t>DIS_SCRUB</t>
  </si>
  <si>
    <t>Disable ECC scrubs. Valid only when ECCCFG0.ecc_mode =
3'b100 or 3'b101 and MEMC_USE_RMW is defined.
Note: Scrub is not supported in inline ECC mode and the
register value is don't care.
Value After Reset: 0x0</t>
  </si>
  <si>
    <t>TEST_MODE</t>
  </si>
  <si>
    <t>If this bit is set to 1, no ECC is performed, and the ECC byte is
accessed directly from co_wu_rxdata_ecc and
ra_co_resp_ecc_data. This test mode is only supported with
the HIF interface - it is disabled if UMCTL2_INCL_ARB is
enabled. This test mode is only supported in full bus width
mode. In other words, if MSTR.data_bus_width is non-zero,
this test_mode field must be set to 0. If test_mode is set to 1,
the ecc_mode field is ignored. If MEMC_ECC_SUPPORT is 2
(Advanced ECC mode), this test_mode field must be set to 0.
Note: test_mode is not supported in inline ECC mode and the
register value is don't care.
Value After Reset: 0x0</t>
  </si>
  <si>
    <t>ECC_MODE</t>
  </si>
  <si>
    <t>ECC mode indicator
■ 000 - ECC disabled
■ 100 - ECC enabled - SEC/DED over 1 beat
■ 101 - ECC enabled - Advanced ECC
■ all other settings are reserved for future use
Value After Reset: 0x0</t>
  </si>
  <si>
    <t>ACTIVE_BLK_CHANNEL</t>
  </si>
  <si>
    <t>Number of active block channels. Total number of ECC block
channels are defined by MEMC_NO_OF_BLK_CHANNEL
hardware parameter. This register can limit the number of
available channels. For example, if set to 0, only one channel
is active and therefore block interleaving is disabled.
Value After Reset: "MEMC_NO_OF_BLK_CHANNEL-1</t>
  </si>
  <si>
    <t>DDRC_ECCCFG1</t>
  </si>
  <si>
    <t>0x3D400074</t>
  </si>
  <si>
    <t>BLK_CHANNEL_ACTIVE_TERM</t>
  </si>
  <si>
    <t>Block Channel active terminate enable.
If enabled, block channel is terminated when full block write or
full block read is performed (all address within block are written
or read)
■ 0 - Disable (only for debug purpose)
■ 1 - Enable (default)
This is debug register, and this must be set to 1 for normal operation.
Value After Reset: 0x1</t>
  </si>
  <si>
    <t>ECC_REGION_WASTE_LOCK</t>
  </si>
  <si>
    <t>Locks the remaining waste parts of the ECC region (hole) that
are not locked by ecc_region_parity_lock.
■ 1: Locked; if this region is accessed, error response is
generated.
■ 0: Unlocked; this region can be accessed normally, similar
to non-ECC protected region.
Value After Reset: 0x1</t>
  </si>
  <si>
    <t>ECC_REGION_PARITY_LOCK</t>
  </si>
  <si>
    <t>Locks the parity section of the ECC region (hole) which is the
highest system address part of the memory that stores ECC
parity for protected region.
■ 1: Locked; if this region is accessed, error response is
generated.
■ 0: Unlocked; this region can be accessed normally, similar
to non-ECC protected region.
Value After Reset: 0x1</t>
  </si>
  <si>
    <t>POISON_CHIP_EN</t>
  </si>
  <si>
    <t>Data poison based on chip (i.e. persistently poisons the DRAM
data once its cs is selected to mimic chip failure). It is valid if
ECCCFG1.data_poison_en=1.
■ 0 : disable
■ 1 : enable. Persistently poison the write data to rank
address that matches ECCPOISONADDR0.ecc_poison_rank.
Value After Reset: 0x0</t>
  </si>
  <si>
    <t>DATA_POISON_BIT</t>
  </si>
  <si>
    <t>Selects whether to poison 1 or 2 bits - if 0 -&gt; 2-bit
(uncorrectable) data poisoning, if 1 -&gt; 1-bit (correctable) data
poisoning, if ECCCFG1.data_poison_en=1. Valid only when
MEMC_ECC_SUPPORT==1 (SECDED ECC mode)
Value After Reset: 0x0</t>
  </si>
  <si>
    <t>DATA_POISON_EN</t>
  </si>
  <si>
    <t>Enable ECC data poisoning - introduces ECC errors on writes
to address specified by the ECCPOISONADDR0/1 registers
Value After Reset: 0x0</t>
  </si>
  <si>
    <t>#DDRC_ECCCFG0</t>
  </si>
  <si>
    <t>#DDRC_ECCCFG1</t>
  </si>
  <si>
    <t>#Firmware Selection: '0' for FW201709, '1' for FW201810, '2' for FW201904, '3' for FW202006</t>
    <phoneticPr fontId="28" type="noConversion"/>
  </si>
  <si>
    <t>Updated ds file for the case when setpoint is different than 2</t>
  </si>
  <si>
    <t>Updated the note for the Address mirroring feeature in the Register Configuration tab to explain in more detail in what situations it needs to be enabled or disabled.</t>
  </si>
  <si>
    <t>Address mirroring must be enabled for dual-rank designs in which the address mirroring mapping scheme was implemented and the following pairs of address bits are swapped for the memory devices that are connected to CS1: (A3, A4), (A5, A6), (A7, A8), (A11, A13), (BA0, BA1), (BG0, BG1). Otherwise, address mirroring must be disabled.
Note, in single-rank designs (only one chip select used), this would be a don't care.</t>
  </si>
  <si>
    <t>Removed option to select 8-bit wide DDR4 devices as i.MX8MPlus only supportes 16-bit wide DDR4 devices.
Number of row, column, bank and bank-group addres bits restricted to the range of supported values</t>
  </si>
  <si>
    <t>wqos_map_region2</t>
  </si>
  <si>
    <t>This bitfield indicates the traffic class of region 2.
Valid values are:
0: NPW, 1: VPW.
When VPW support is disabled (UMCTL2_VPW_EN = 0) and traffic class of region 2 is set to 1 (VPW), VPW traffic is aliased to NPW traffic.
Value After Reset: 0x0</t>
  </si>
  <si>
    <t>wqos_map_level1</t>
  </si>
  <si>
    <t>wqos_map_level2</t>
  </si>
  <si>
    <t>Separation level2 indicating the end of region1 mapping; start of region1 is (level1 + 1). Possible values for level2 are (level1 + 1) to 14 which corresponds to awqos.
Note that for PA, awqos values are used directly as port priorities, where the higher the value corresponds to higher port priority.
Value after reset: 0xe</t>
  </si>
  <si>
    <t>wqos_map_timeout1</t>
  </si>
  <si>
    <t>wqos_map_timeout2</t>
  </si>
  <si>
    <t>Specifies the timeout value for write transactions in region 2.
Value After Reset: 0x0</t>
  </si>
  <si>
    <t>Specifies the timeout value for write transactions in region 0 and 1.
Value After Reset: 0x0</t>
  </si>
  <si>
    <t>Performance optimization settings aligned with the default BSP configuration.
Fixed ADDRMAP2 settings for half-bus width configurations.</t>
  </si>
  <si>
    <t>col_addr_shift</t>
  </si>
  <si>
    <t>The register provides a capability to map column address to lower HIF address in specific cases required by inline ECC configuration.
■ If it is 1, internal base of all the column address can be -2 to make mapping range of column address shift left 2 bit
■ If it is 0, internal base of all the column address has no change Set to 0 if inline ECC is not enabled (ECCCFG0.ecc_mode==0).
Value After Reset:0x0
Exists:MEMC_INLINE_ECC==1 &amp;&amp; MEMC_BURST_LENGTH==16
Programming Mode:Static</t>
  </si>
  <si>
    <r>
      <t>FREQ1 setpoint Clock Cycle Freq (MHz)</t>
    </r>
    <r>
      <rPr>
        <vertAlign val="superscript"/>
        <sz val="10"/>
        <rFont val="Arial"/>
        <family val="2"/>
      </rPr>
      <t>4</t>
    </r>
  </si>
  <si>
    <t>4. Clock frequency 533 MHz lies outside of the DLL-on mode range defined by the JEDEC specification for DDR4 and its support is conditioned by associated declaration in the datasheet of the memory device. Otherwise, the lowest allowed frequency is 668 MHz.</t>
  </si>
  <si>
    <t>Changes applied to ADDRMAP under following conditions:
-x32 with ECC: aligned to vendor recommended 2 BG rotation scheme
-x16 without ECC: aligned to vendor recommended no BG rotation scheme
-x16 with ECC: aligned to vendor recommended no BG rotation scheme
Updated ECC config registers where ECC parity remap is enabled and the AP threshold tuned based on the buswidth. ECC_REGION_WASTE_LOCK is also disabled to allow users access to the waste region.
-Added a note about 533 MHz frequency setopoint not being natively supported by DDR4 JEDEC standard.
-tRCD parameter was made as user input instead of automatic calculation.</t>
  </si>
  <si>
    <t>DDR4 Data Bus width per device</t>
  </si>
  <si>
    <t>DDR4 MR5: Parked ODT value (RTT(Park)) - FREQ1</t>
  </si>
  <si>
    <r>
      <rPr>
        <b/>
        <sz val="10"/>
        <rFont val="Arial"/>
        <family val="2"/>
      </rPr>
      <t>EMR</t>
    </r>
    <r>
      <rPr>
        <sz val="10"/>
        <rFont val="Arial"/>
        <family val="2"/>
      </rPr>
      <t xml:space="preserve">
DDR4 </t>
    </r>
    <r>
      <rPr>
        <b/>
        <sz val="10"/>
        <rFont val="Arial"/>
        <family val="2"/>
      </rPr>
      <t>MR1:</t>
    </r>
    <r>
      <rPr>
        <sz val="10"/>
        <rFont val="Arial"/>
        <family val="2"/>
      </rPr>
      <t xml:space="preserve"> Output Driver Impedance - FREQ1</t>
    </r>
  </si>
  <si>
    <t>TxImpedance</t>
  </si>
  <si>
    <t>i.MX side DQ ODT setting</t>
  </si>
  <si>
    <t>i.MX side DQ bus driver strength setting</t>
  </si>
  <si>
    <r>
      <rPr>
        <b/>
        <sz val="10"/>
        <rFont val="Arial"/>
        <family val="2"/>
      </rPr>
      <t>EMR</t>
    </r>
    <r>
      <rPr>
        <sz val="10"/>
        <rFont val="Arial"/>
        <family val="2"/>
      </rPr>
      <t xml:space="preserve">
DDR4 </t>
    </r>
    <r>
      <rPr>
        <b/>
        <sz val="10"/>
        <rFont val="Arial"/>
        <family val="2"/>
      </rPr>
      <t>MR1:</t>
    </r>
    <r>
      <rPr>
        <sz val="10"/>
        <rFont val="Arial"/>
        <family val="2"/>
      </rPr>
      <t xml:space="preserve"> Nominal ODT - FREQ1</t>
    </r>
  </si>
  <si>
    <t>DDR4 MR6: VREF Calibration Range - FREQ1</t>
  </si>
  <si>
    <t>DDR4 MR6: VREF Calibration Value - FREQ1</t>
  </si>
  <si>
    <t>i.MX side address bus driver strength setting</t>
  </si>
  <si>
    <r>
      <t>Total Data Bus Width</t>
    </r>
    <r>
      <rPr>
        <vertAlign val="superscript"/>
        <sz val="10"/>
        <rFont val="Arial"/>
        <family val="2"/>
      </rPr>
      <t>3</t>
    </r>
  </si>
  <si>
    <t>- corrected formula for DDRC_DRAMTMG2.RD2WR calculation (extra one cycle was required to be addded by the IP specification)</t>
  </si>
  <si>
    <t xml:space="preserve">- setting of DDRC_MSTR.FREQUENCY_MODE changed from 0 to 1 since this setting should be used when multiple frequency setpoints are supported. No functional impact since this register is correctly being set also by ATF.
- names of some parameters extended with "FREQ1" suffixes to avoid duplicates which prevented correct tokenization of the spreadsheet for extended use with DDR Tools. "ATxImpedance", "ODTImpedance" and "TxImpedance" fields located at top of the "Register Configuration" page renamed to "i.MX side address bus driver strength setting", "i.MX side DQ ODT setting" and "i.MX side DQ bus driver strength setting" from the same reason. No functional impact on the DDR configuration.
</t>
  </si>
  <si>
    <t>#DDRC_MSTR2</t>
    <phoneticPr fontId="29" type="noConversion"/>
  </si>
  <si>
    <t>-Added configuration of DDRC_MSTR2 register in the DDR stress test file tab to select frequency setpoint 0 at initialization. This is to maintain compatibility of the RPA with the BSP once DDRC_MSTR.FREQUNCY_MODE setting was changed to 1.</t>
  </si>
  <si>
    <t>0x3D400028</t>
  </si>
  <si>
    <t>-Added configuration of DDRC_MSTR2 register in the DDR stress test file tab to select frequency setpoint 0 at initialization. This is to maintain compatibility of the RPA with the BSP once DDRC_MSTR.FREQUENCY_MODE setting was changed to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</si>
</sst>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0"/>
      <name val="Arial"/>
    </font>
    <font>
      <sz val="11"/>
      <color theme="1"/>
      <name val="Calibri"/>
      <family val="2"/>
      <charset val="238"/>
      <scheme val="minor"/>
    </font>
    <font>
      <sz val="8"/>
      <name val="Arial"/>
      <family val="2"/>
    </font>
    <font>
      <b/>
      <sz val="10"/>
      <name val="Arial"/>
      <family val="2"/>
    </font>
    <font>
      <sz val="10"/>
      <name val="Arial"/>
      <family val="2"/>
    </font>
    <font>
      <b/>
      <sz val="12"/>
      <name val="Arial"/>
      <family val="2"/>
    </font>
    <font>
      <b/>
      <sz val="24"/>
      <name val="Arial"/>
      <family val="2"/>
    </font>
    <font>
      <b/>
      <sz val="28"/>
      <name val="Arial"/>
      <family val="2"/>
    </font>
    <font>
      <sz val="11"/>
      <color rgb="FF3F3F76"/>
      <name val="Calibri"/>
      <family val="2"/>
      <scheme val="minor"/>
    </font>
    <font>
      <b/>
      <sz val="10"/>
      <color theme="1"/>
      <name val="Arial"/>
      <family val="2"/>
    </font>
    <font>
      <sz val="10"/>
      <color theme="1"/>
      <name val="Arial"/>
      <family val="2"/>
    </font>
    <font>
      <b/>
      <sz val="11"/>
      <color rgb="FFFA7D00"/>
      <name val="Calibri"/>
      <family val="2"/>
      <scheme val="minor"/>
    </font>
    <font>
      <vertAlign val="superscript"/>
      <sz val="10"/>
      <name val="Arial"/>
      <family val="2"/>
    </font>
    <font>
      <sz val="11"/>
      <name val="Calibri"/>
      <family val="2"/>
    </font>
    <font>
      <b/>
      <sz val="18"/>
      <name val="Arial"/>
      <family val="2"/>
    </font>
    <font>
      <b/>
      <sz val="10"/>
      <color theme="9" tint="-0.249977111117893"/>
      <name val="Arial"/>
      <family val="2"/>
    </font>
    <font>
      <b/>
      <sz val="11"/>
      <name val="Calibri"/>
      <family val="2"/>
      <scheme val="minor"/>
    </font>
    <font>
      <b/>
      <i/>
      <sz val="10"/>
      <color theme="1"/>
      <name val="Arial"/>
      <family val="2"/>
    </font>
    <font>
      <sz val="11"/>
      <name val="Calibri"/>
      <family val="2"/>
      <scheme val="minor"/>
    </font>
    <font>
      <sz val="10"/>
      <name val="Courier New"/>
      <family val="3"/>
    </font>
    <font>
      <i/>
      <sz val="11"/>
      <name val="Calibri"/>
      <family val="2"/>
    </font>
    <font>
      <sz val="12"/>
      <color rgb="FFFF0000"/>
      <name val="Arial"/>
      <family val="2"/>
    </font>
    <font>
      <sz val="10"/>
      <color rgb="FFFF0000"/>
      <name val="Arial"/>
      <family val="2"/>
    </font>
    <font>
      <b/>
      <sz val="12"/>
      <color rgb="FFFF0000"/>
      <name val="Arial"/>
      <family val="2"/>
    </font>
    <font>
      <b/>
      <sz val="10"/>
      <color rgb="FFFF0000"/>
      <name val="Arial"/>
      <family val="2"/>
    </font>
    <font>
      <sz val="8"/>
      <color theme="1"/>
      <name val="Arial"/>
      <family val="2"/>
    </font>
    <font>
      <sz val="11"/>
      <color rgb="FFFA7D00"/>
      <name val="Calibri"/>
      <family val="2"/>
      <scheme val="minor"/>
    </font>
    <font>
      <b/>
      <sz val="11"/>
      <name val="Arial"/>
      <family val="2"/>
    </font>
    <font>
      <sz val="9"/>
      <name val="宋体"/>
      <family val="3"/>
      <charset val="134"/>
    </font>
    <font>
      <sz val="10"/>
      <color rgb="FF0070C0"/>
      <name val="Arial"/>
      <family val="2"/>
    </font>
    <font>
      <b/>
      <sz val="9"/>
      <name val="Arial"/>
      <family val="2"/>
    </font>
    <font>
      <b/>
      <sz val="10"/>
      <color rgb="FF0070C0"/>
      <name val="Arial"/>
      <family val="2"/>
    </font>
    <font>
      <b/>
      <sz val="11"/>
      <color rgb="FFFF0000"/>
      <name val="Arial"/>
      <family val="2"/>
    </font>
    <font>
      <b/>
      <u/>
      <sz val="9"/>
      <name val="Arial"/>
      <family val="2"/>
    </font>
    <font>
      <sz val="10"/>
      <color rgb="FF00B050"/>
      <name val="Arial"/>
      <family val="2"/>
    </font>
    <font>
      <sz val="9"/>
      <name val="Arial"/>
      <family val="2"/>
    </font>
    <font>
      <b/>
      <u/>
      <sz val="10"/>
      <name val="Arial"/>
      <family val="2"/>
    </font>
    <font>
      <b/>
      <sz val="9"/>
      <color rgb="FFFA7D00"/>
      <name val="Calibri"/>
      <family val="2"/>
      <scheme val="minor"/>
    </font>
    <font>
      <sz val="10"/>
      <color rgb="FF000000"/>
      <name val="Helvetica"/>
    </font>
    <font>
      <sz val="7"/>
      <color rgb="FF000000"/>
      <name val="ZapfDingbats"/>
    </font>
  </fonts>
  <fills count="14">
    <fill>
      <patternFill patternType="none"/>
    </fill>
    <fill>
      <patternFill patternType="gray125"/>
    </fill>
    <fill>
      <patternFill patternType="solid">
        <fgColor indexed="9"/>
        <bgColor indexed="64"/>
      </patternFill>
    </fill>
    <fill>
      <patternFill patternType="solid">
        <fgColor rgb="FFFFCC99"/>
      </patternFill>
    </fill>
    <fill>
      <patternFill patternType="solid">
        <fgColor rgb="FFFFFF00"/>
        <bgColor indexed="64"/>
      </patternFill>
    </fill>
    <fill>
      <patternFill patternType="solid">
        <fgColor theme="9" tint="0.39997558519241921"/>
        <bgColor indexed="64"/>
      </patternFill>
    </fill>
    <fill>
      <patternFill patternType="solid">
        <fgColor theme="0"/>
        <bgColor indexed="64"/>
      </patternFill>
    </fill>
    <fill>
      <patternFill patternType="solid">
        <fgColor theme="6" tint="0.59999389629810485"/>
        <bgColor indexed="64"/>
      </patternFill>
    </fill>
    <fill>
      <patternFill patternType="solid">
        <fgColor rgb="FFF2F2F2"/>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bgColor indexed="64"/>
      </patternFill>
    </fill>
    <fill>
      <patternFill patternType="solid">
        <fgColor theme="6" tint="0.59999389629810485"/>
        <bgColor indexed="65"/>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rgb="FF7F7F7F"/>
      </left>
      <right style="thin">
        <color rgb="FF7F7F7F"/>
      </right>
      <top style="thin">
        <color rgb="FF7F7F7F"/>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7F7F7F"/>
      </left>
      <right style="medium">
        <color indexed="64"/>
      </right>
      <top style="thin">
        <color rgb="FF7F7F7F"/>
      </top>
      <bottom style="thin">
        <color rgb="FF7F7F7F"/>
      </bottom>
      <diagonal/>
    </border>
    <border>
      <left style="thin">
        <color rgb="FF7F7F7F"/>
      </left>
      <right style="medium">
        <color indexed="64"/>
      </right>
      <top style="thin">
        <color rgb="FF7F7F7F"/>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rgb="FF7F7F7F"/>
      </left>
      <right style="thin">
        <color rgb="FF7F7F7F"/>
      </right>
      <top style="medium">
        <color indexed="64"/>
      </top>
      <bottom style="thin">
        <color rgb="FF7F7F7F"/>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rgb="FF7F7F7F"/>
      </left>
      <right style="thin">
        <color rgb="FF7F7F7F"/>
      </right>
      <top/>
      <bottom style="medium">
        <color indexed="64"/>
      </bottom>
      <diagonal/>
    </border>
    <border>
      <left style="thin">
        <color rgb="FF7F7F7F"/>
      </left>
      <right style="thin">
        <color rgb="FF7F7F7F"/>
      </right>
      <top style="medium">
        <color indexed="64"/>
      </top>
      <bottom/>
      <diagonal/>
    </border>
    <border>
      <left style="thin">
        <color rgb="FF7F7F7F"/>
      </left>
      <right style="thin">
        <color rgb="FF7F7F7F"/>
      </right>
      <top style="medium">
        <color indexed="64"/>
      </top>
      <bottom style="medium">
        <color indexed="64"/>
      </bottom>
      <diagonal/>
    </border>
    <border>
      <left/>
      <right style="thin">
        <color indexed="64"/>
      </right>
      <top style="medium">
        <color indexed="64"/>
      </top>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right/>
      <top/>
      <bottom style="thin">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7F7F7F"/>
      </left>
      <right style="thin">
        <color rgb="FF7F7F7F"/>
      </right>
      <top style="thin">
        <color indexed="64"/>
      </top>
      <bottom style="medium">
        <color indexed="64"/>
      </bottom>
      <diagonal/>
    </border>
    <border>
      <left style="thin">
        <color rgb="FF7F7F7F"/>
      </left>
      <right style="thin">
        <color rgb="FF7F7F7F"/>
      </right>
      <top style="thin">
        <color rgb="FF7F7F7F"/>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style="thin">
        <color rgb="FF7F7F7F"/>
      </right>
      <top style="thin">
        <color indexed="64"/>
      </top>
      <bottom style="thin">
        <color indexed="64"/>
      </bottom>
      <diagonal/>
    </border>
    <border>
      <left style="thin">
        <color rgb="FF7F7F7F"/>
      </left>
      <right style="medium">
        <color indexed="64"/>
      </right>
      <top style="thin">
        <color indexed="64"/>
      </top>
      <bottom style="thin">
        <color indexed="64"/>
      </bottom>
      <diagonal/>
    </border>
  </borders>
  <cellStyleXfs count="5">
    <xf numFmtId="0" fontId="0" fillId="0" borderId="0"/>
    <xf numFmtId="0" fontId="8" fillId="3" borderId="22" applyNumberFormat="0" applyAlignment="0" applyProtection="0"/>
    <xf numFmtId="0" fontId="11" fillId="8" borderId="22" applyNumberFormat="0" applyAlignment="0" applyProtection="0"/>
    <xf numFmtId="0" fontId="4" fillId="0" borderId="0"/>
    <xf numFmtId="0" fontId="1" fillId="13" borderId="0" applyNumberFormat="0" applyBorder="0" applyAlignment="0" applyProtection="0"/>
  </cellStyleXfs>
  <cellXfs count="890">
    <xf numFmtId="0" fontId="0" fillId="0" borderId="0" xfId="0"/>
    <xf numFmtId="0" fontId="0" fillId="0" borderId="0" xfId="0" applyAlignment="1">
      <alignment horizontal="center"/>
    </xf>
    <xf numFmtId="0" fontId="3" fillId="0" borderId="3" xfId="0" applyFont="1" applyBorder="1" applyAlignment="1">
      <alignment horizontal="center" wrapText="1"/>
    </xf>
    <xf numFmtId="0" fontId="4" fillId="0" borderId="0" xfId="0" applyFont="1"/>
    <xf numFmtId="0" fontId="3" fillId="0" borderId="4" xfId="0" applyFont="1" applyBorder="1" applyAlignment="1">
      <alignment horizontal="center"/>
    </xf>
    <xf numFmtId="0" fontId="3" fillId="0" borderId="3" xfId="0" applyFont="1" applyFill="1" applyBorder="1" applyAlignment="1">
      <alignment horizontal="center" wrapText="1"/>
    </xf>
    <xf numFmtId="0" fontId="0" fillId="0" borderId="0" xfId="0" applyFill="1"/>
    <xf numFmtId="0" fontId="0" fillId="0" borderId="0" xfId="0" quotePrefix="1"/>
    <xf numFmtId="0" fontId="0" fillId="6" borderId="0" xfId="0" applyFill="1"/>
    <xf numFmtId="0" fontId="6" fillId="2" borderId="0" xfId="0" applyFont="1" applyFill="1"/>
    <xf numFmtId="0" fontId="6" fillId="0" borderId="0" xfId="0" applyFont="1"/>
    <xf numFmtId="0" fontId="6" fillId="6" borderId="0" xfId="0" applyFont="1" applyFill="1"/>
    <xf numFmtId="0" fontId="0" fillId="6" borderId="0" xfId="0" applyFill="1" applyBorder="1"/>
    <xf numFmtId="0" fontId="0" fillId="6" borderId="0" xfId="0" applyFill="1" applyAlignment="1">
      <alignment horizontal="center"/>
    </xf>
    <xf numFmtId="0" fontId="9" fillId="0" borderId="3" xfId="0" applyFont="1" applyBorder="1" applyAlignment="1">
      <alignment horizontal="center" wrapText="1"/>
    </xf>
    <xf numFmtId="0" fontId="9" fillId="0" borderId="4" xfId="0" applyFont="1" applyBorder="1" applyAlignment="1">
      <alignment horizontal="center"/>
    </xf>
    <xf numFmtId="0" fontId="9" fillId="0" borderId="3" xfId="0" applyFont="1" applyFill="1" applyBorder="1" applyAlignment="1">
      <alignment horizontal="center" wrapText="1"/>
    </xf>
    <xf numFmtId="0" fontId="10" fillId="0" borderId="1" xfId="0" applyFont="1" applyBorder="1" applyAlignment="1">
      <alignment wrapText="1"/>
    </xf>
    <xf numFmtId="0" fontId="10" fillId="6" borderId="0" xfId="0" applyFont="1" applyFill="1"/>
    <xf numFmtId="0" fontId="5" fillId="6" borderId="5" xfId="0" applyFont="1" applyFill="1" applyBorder="1"/>
    <xf numFmtId="0" fontId="0" fillId="6" borderId="6" xfId="0" applyFill="1" applyBorder="1"/>
    <xf numFmtId="0" fontId="0" fillId="6" borderId="7" xfId="0" applyFill="1" applyBorder="1" applyAlignment="1">
      <alignment horizontal="center"/>
    </xf>
    <xf numFmtId="0" fontId="4" fillId="0" borderId="8" xfId="0" applyFont="1" applyBorder="1"/>
    <xf numFmtId="0" fontId="4" fillId="0" borderId="8" xfId="0" applyFont="1" applyFill="1" applyBorder="1"/>
    <xf numFmtId="0" fontId="4" fillId="0" borderId="9" xfId="0" applyFont="1" applyFill="1" applyBorder="1"/>
    <xf numFmtId="0" fontId="4" fillId="6" borderId="0" xfId="0" applyFont="1" applyFill="1"/>
    <xf numFmtId="0" fontId="0" fillId="6" borderId="0" xfId="0" quotePrefix="1" applyFill="1"/>
    <xf numFmtId="0" fontId="0" fillId="6" borderId="7" xfId="0" applyFill="1" applyBorder="1"/>
    <xf numFmtId="0" fontId="0" fillId="6" borderId="0" xfId="0" applyFill="1" applyAlignment="1">
      <alignment wrapText="1"/>
    </xf>
    <xf numFmtId="0" fontId="0" fillId="6" borderId="0" xfId="0" applyFill="1" applyBorder="1" applyAlignment="1">
      <alignment horizontal="center"/>
    </xf>
    <xf numFmtId="0" fontId="0" fillId="0" borderId="0" xfId="0" quotePrefix="1" applyAlignment="1">
      <alignment horizontal="left"/>
    </xf>
    <xf numFmtId="0" fontId="4" fillId="0" borderId="0" xfId="0" quotePrefix="1" applyFont="1"/>
    <xf numFmtId="0" fontId="10" fillId="0" borderId="10" xfId="0" applyFont="1" applyBorder="1" applyAlignment="1">
      <alignment wrapText="1"/>
    </xf>
    <xf numFmtId="0" fontId="10" fillId="0" borderId="24" xfId="0" applyFont="1" applyBorder="1" applyAlignment="1">
      <alignment wrapText="1"/>
    </xf>
    <xf numFmtId="0" fontId="10" fillId="0" borderId="28" xfId="0" applyFont="1" applyBorder="1" applyAlignment="1">
      <alignment wrapText="1"/>
    </xf>
    <xf numFmtId="0" fontId="9" fillId="0" borderId="4" xfId="0" applyFont="1" applyFill="1" applyBorder="1" applyAlignment="1">
      <alignment horizontal="center" wrapText="1"/>
    </xf>
    <xf numFmtId="0" fontId="10" fillId="0" borderId="0" xfId="0" applyFont="1" applyBorder="1" applyAlignment="1">
      <alignment horizontal="center" vertical="center"/>
    </xf>
    <xf numFmtId="0" fontId="3" fillId="0" borderId="0" xfId="0" applyFont="1" applyBorder="1" applyAlignment="1">
      <alignment horizontal="center" wrapText="1"/>
    </xf>
    <xf numFmtId="0" fontId="3" fillId="0" borderId="0" xfId="0" applyFont="1" applyBorder="1" applyAlignment="1">
      <alignment horizontal="center"/>
    </xf>
    <xf numFmtId="0" fontId="3" fillId="0" borderId="0" xfId="0" applyFont="1" applyFill="1" applyBorder="1" applyAlignment="1">
      <alignment horizontal="center" wrapText="1"/>
    </xf>
    <xf numFmtId="0" fontId="4" fillId="0" borderId="8" xfId="0" applyFont="1" applyBorder="1" applyAlignment="1">
      <alignment wrapText="1"/>
    </xf>
    <xf numFmtId="0" fontId="0" fillId="0" borderId="0" xfId="0" applyFill="1" applyAlignment="1">
      <alignment horizontal="center" vertical="center" wrapText="1"/>
    </xf>
    <xf numFmtId="0" fontId="0" fillId="0" borderId="0" xfId="0"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center" vertical="center" wrapText="1"/>
    </xf>
    <xf numFmtId="0" fontId="0" fillId="2" borderId="0" xfId="0" applyFill="1" applyAlignment="1">
      <alignment horizontal="center"/>
    </xf>
    <xf numFmtId="0" fontId="3" fillId="0" borderId="4" xfId="0" applyFont="1" applyFill="1" applyBorder="1" applyAlignment="1">
      <alignment horizontal="center" wrapText="1"/>
    </xf>
    <xf numFmtId="0" fontId="0" fillId="0" borderId="0" xfId="0" applyBorder="1" applyAlignment="1"/>
    <xf numFmtId="0" fontId="4" fillId="6" borderId="8" xfId="0" applyFont="1" applyFill="1" applyBorder="1" applyAlignment="1">
      <alignment horizontal="left" vertical="center" wrapText="1"/>
    </xf>
    <xf numFmtId="0" fontId="11" fillId="8" borderId="39" xfId="2" applyBorder="1" applyAlignment="1">
      <alignment horizontal="center" wrapText="1"/>
    </xf>
    <xf numFmtId="0" fontId="11" fillId="6" borderId="39" xfId="2" applyFill="1" applyBorder="1" applyAlignment="1">
      <alignment horizontal="center" wrapText="1"/>
    </xf>
    <xf numFmtId="0" fontId="13" fillId="6" borderId="0" xfId="0" applyFont="1" applyFill="1" applyAlignment="1">
      <alignment wrapText="1"/>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0" borderId="0" xfId="0" applyNumberFormat="1" applyFont="1" applyBorder="1" applyAlignment="1">
      <alignment horizontal="center" vertical="center"/>
    </xf>
    <xf numFmtId="0" fontId="10" fillId="0" borderId="24" xfId="1" applyFont="1" applyFill="1" applyBorder="1" applyAlignment="1">
      <alignment horizontal="center" vertical="center" wrapText="1"/>
    </xf>
    <xf numFmtId="0" fontId="10" fillId="0" borderId="3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1" applyFont="1" applyFill="1" applyBorder="1" applyAlignment="1">
      <alignment horizontal="center" vertical="center" wrapText="1"/>
    </xf>
    <xf numFmtId="0" fontId="10" fillId="0" borderId="28" xfId="0" applyFont="1" applyFill="1" applyBorder="1" applyAlignment="1">
      <alignment horizontal="center" vertical="center" wrapText="1"/>
    </xf>
    <xf numFmtId="0" fontId="10" fillId="0" borderId="28" xfId="1" applyFont="1" applyFill="1" applyBorder="1" applyAlignment="1">
      <alignment horizontal="center" vertical="center" wrapText="1"/>
    </xf>
    <xf numFmtId="0" fontId="10" fillId="0" borderId="24" xfId="0" applyFont="1" applyFill="1" applyBorder="1" applyAlignment="1">
      <alignment horizontal="center" vertical="center" wrapText="1"/>
    </xf>
    <xf numFmtId="0" fontId="4" fillId="6" borderId="0" xfId="0" quotePrefix="1" applyFont="1" applyFill="1"/>
    <xf numFmtId="0" fontId="4" fillId="0" borderId="0" xfId="0" applyFont="1" applyFill="1" applyBorder="1"/>
    <xf numFmtId="0" fontId="10" fillId="0" borderId="0" xfId="0" applyFont="1" applyBorder="1" applyAlignment="1">
      <alignment horizontal="center" wrapText="1"/>
    </xf>
    <xf numFmtId="0" fontId="10" fillId="0" borderId="0" xfId="0" applyFont="1" applyFill="1" applyBorder="1" applyAlignment="1">
      <alignment horizontal="center" wrapText="1"/>
    </xf>
    <xf numFmtId="0" fontId="10" fillId="0" borderId="0" xfId="1" applyFont="1" applyFill="1" applyBorder="1" applyAlignment="1">
      <alignment horizontal="center" wrapText="1"/>
    </xf>
    <xf numFmtId="0" fontId="10" fillId="0" borderId="0" xfId="0" applyFont="1" applyBorder="1" applyAlignment="1">
      <alignment horizontal="center"/>
    </xf>
    <xf numFmtId="0" fontId="10" fillId="0" borderId="0" xfId="0" applyFont="1" applyBorder="1" applyAlignment="1">
      <alignment wrapText="1"/>
    </xf>
    <xf numFmtId="0" fontId="10" fillId="0" borderId="32"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1" applyFont="1" applyFill="1" applyBorder="1" applyAlignment="1">
      <alignment horizontal="center" vertical="center" wrapText="1"/>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0" xfId="0" applyBorder="1" applyAlignment="1">
      <alignment horizontal="center" vertical="center"/>
    </xf>
    <xf numFmtId="0" fontId="10" fillId="6" borderId="0" xfId="0" applyFont="1" applyFill="1" applyAlignment="1">
      <alignment horizontal="center" vertical="center"/>
    </xf>
    <xf numFmtId="0" fontId="15" fillId="10" borderId="1" xfId="1" applyFont="1" applyFill="1" applyBorder="1" applyAlignment="1">
      <alignment horizontal="center" vertical="center" wrapText="1"/>
    </xf>
    <xf numFmtId="0" fontId="10" fillId="0" borderId="45" xfId="0" applyFont="1" applyBorder="1" applyAlignment="1">
      <alignment horizontal="center" vertical="center" wrapText="1"/>
    </xf>
    <xf numFmtId="0" fontId="4" fillId="0" borderId="9" xfId="0" applyFont="1" applyBorder="1" applyAlignment="1">
      <alignment horizontal="left" vertical="center" wrapText="1"/>
    </xf>
    <xf numFmtId="0" fontId="4" fillId="0" borderId="2" xfId="0" applyFont="1" applyBorder="1" applyAlignment="1">
      <alignment horizontal="center" vertical="center" wrapText="1"/>
    </xf>
    <xf numFmtId="0" fontId="4" fillId="0" borderId="24" xfId="0" applyFont="1" applyBorder="1" applyAlignment="1">
      <alignment horizontal="left" vertical="top" wrapText="1"/>
    </xf>
    <xf numFmtId="0" fontId="4" fillId="0" borderId="37" xfId="0" applyFont="1" applyBorder="1" applyAlignment="1">
      <alignment horizontal="center" vertical="center"/>
    </xf>
    <xf numFmtId="0" fontId="10" fillId="0" borderId="13" xfId="0" applyFont="1" applyBorder="1" applyAlignment="1">
      <alignment horizontal="center" vertical="center"/>
    </xf>
    <xf numFmtId="0" fontId="11" fillId="8" borderId="46" xfId="2" applyBorder="1" applyAlignment="1">
      <alignment horizontal="center" vertical="center" wrapText="1"/>
    </xf>
    <xf numFmtId="0" fontId="10" fillId="0" borderId="24" xfId="0" quotePrefix="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15" fillId="0" borderId="0" xfId="0" applyFont="1" applyFill="1" applyBorder="1" applyAlignment="1">
      <alignment horizontal="center" vertical="center" wrapText="1"/>
    </xf>
    <xf numFmtId="0" fontId="9" fillId="0" borderId="48" xfId="1" applyFont="1" applyFill="1" applyBorder="1" applyAlignment="1">
      <alignment horizontal="center" wrapText="1"/>
    </xf>
    <xf numFmtId="0" fontId="10" fillId="0" borderId="28" xfId="0" quotePrefix="1" applyFont="1" applyFill="1" applyBorder="1" applyAlignment="1">
      <alignment horizontal="center" vertical="center" wrapText="1"/>
    </xf>
    <xf numFmtId="0" fontId="17" fillId="6" borderId="0" xfId="0" applyFont="1" applyFill="1"/>
    <xf numFmtId="0" fontId="4" fillId="0" borderId="9" xfId="0" applyFont="1" applyBorder="1" applyAlignment="1">
      <alignment horizontal="center" vertical="center" wrapText="1"/>
    </xf>
    <xf numFmtId="0" fontId="4" fillId="0" borderId="1" xfId="3" quotePrefix="1" applyBorder="1" applyAlignment="1">
      <alignment horizontal="center" vertical="center"/>
    </xf>
    <xf numFmtId="0" fontId="4" fillId="0" borderId="24" xfId="3" quotePrefix="1" applyBorder="1" applyAlignment="1">
      <alignment horizontal="center" vertical="center"/>
    </xf>
    <xf numFmtId="0" fontId="4" fillId="0" borderId="28" xfId="3" quotePrefix="1" applyBorder="1" applyAlignment="1">
      <alignment horizontal="center" vertical="center"/>
    </xf>
    <xf numFmtId="0" fontId="10" fillId="0" borderId="0" xfId="0" quotePrefix="1" applyFont="1" applyFill="1" applyBorder="1" applyAlignment="1">
      <alignment horizontal="center" vertical="center" wrapText="1"/>
    </xf>
    <xf numFmtId="0" fontId="4" fillId="0" borderId="1" xfId="0" quotePrefix="1" applyFont="1" applyBorder="1" applyAlignment="1">
      <alignment horizontal="center" vertical="center" wrapText="1"/>
    </xf>
    <xf numFmtId="0" fontId="4" fillId="0" borderId="28" xfId="0" quotePrefix="1" applyFont="1" applyBorder="1" applyAlignment="1">
      <alignment horizontal="center" vertical="center" wrapText="1"/>
    </xf>
    <xf numFmtId="0" fontId="4" fillId="0" borderId="28"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3" applyFont="1" applyBorder="1" applyAlignment="1">
      <alignment horizontal="center" vertical="center" wrapText="1"/>
    </xf>
    <xf numFmtId="0" fontId="0" fillId="0" borderId="0" xfId="0" applyFill="1" applyBorder="1"/>
    <xf numFmtId="0" fontId="3" fillId="0" borderId="0" xfId="0" applyFont="1" applyFill="1" applyBorder="1" applyAlignment="1">
      <alignment horizontal="center"/>
    </xf>
    <xf numFmtId="0" fontId="10" fillId="0" borderId="0" xfId="0" applyFont="1" applyFill="1" applyBorder="1" applyAlignment="1">
      <alignment horizontal="center" vertical="center"/>
    </xf>
    <xf numFmtId="0" fontId="11" fillId="8" borderId="1" xfId="2" applyBorder="1" applyAlignment="1">
      <alignment horizontal="center" vertical="center" wrapText="1"/>
    </xf>
    <xf numFmtId="0" fontId="11" fillId="8" borderId="49" xfId="2" applyBorder="1" applyAlignment="1">
      <alignment horizontal="center" vertical="center" wrapText="1"/>
    </xf>
    <xf numFmtId="0" fontId="11" fillId="8" borderId="50" xfId="2" applyBorder="1" applyAlignment="1">
      <alignment horizontal="center" vertical="center" wrapText="1"/>
    </xf>
    <xf numFmtId="0" fontId="11" fillId="8" borderId="24" xfId="2" applyBorder="1" applyAlignment="1">
      <alignment horizontal="center" vertical="center" wrapText="1"/>
    </xf>
    <xf numFmtId="0" fontId="11" fillId="0" borderId="0" xfId="2" applyFill="1" applyBorder="1" applyAlignment="1">
      <alignment horizontal="center" vertical="center" wrapText="1"/>
    </xf>
    <xf numFmtId="0" fontId="11" fillId="8" borderId="28" xfId="2" applyBorder="1" applyAlignment="1">
      <alignment horizontal="center" vertical="center" wrapText="1"/>
    </xf>
    <xf numFmtId="0" fontId="11" fillId="0" borderId="0" xfId="2" applyFill="1" applyBorder="1" applyAlignment="1">
      <alignment horizontal="center" vertical="center"/>
    </xf>
    <xf numFmtId="0" fontId="19" fillId="0" borderId="0" xfId="0" applyFont="1"/>
    <xf numFmtId="0" fontId="4" fillId="6" borderId="1" xfId="0" applyFont="1" applyFill="1" applyBorder="1" applyAlignment="1">
      <alignment horizontal="center" vertical="top" wrapText="1"/>
    </xf>
    <xf numFmtId="0" fontId="4" fillId="0" borderId="1" xfId="0" applyFont="1" applyBorder="1"/>
    <xf numFmtId="0" fontId="4" fillId="6" borderId="0" xfId="0" applyFont="1" applyFill="1" applyBorder="1" applyAlignment="1">
      <alignment horizontal="left" vertical="top" wrapText="1"/>
    </xf>
    <xf numFmtId="0" fontId="11" fillId="8" borderId="22" xfId="2" applyAlignment="1">
      <alignment horizontal="center" vertical="center" wrapText="1"/>
    </xf>
    <xf numFmtId="0" fontId="10" fillId="0" borderId="1" xfId="1"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1" fillId="8" borderId="35" xfId="2" applyBorder="1" applyAlignment="1">
      <alignment horizontal="center" vertical="center"/>
    </xf>
    <xf numFmtId="0" fontId="3" fillId="0" borderId="0" xfId="0" applyFont="1"/>
    <xf numFmtId="0" fontId="10" fillId="0" borderId="1" xfId="0" applyFont="1" applyBorder="1" applyAlignment="1">
      <alignment vertical="center" wrapText="1"/>
    </xf>
    <xf numFmtId="0" fontId="10" fillId="0" borderId="24" xfId="0" applyFont="1" applyBorder="1" applyAlignment="1">
      <alignment vertical="center" wrapText="1"/>
    </xf>
    <xf numFmtId="0" fontId="4" fillId="0" borderId="28" xfId="0" applyFont="1" applyBorder="1" applyAlignment="1">
      <alignment vertical="center" wrapText="1"/>
    </xf>
    <xf numFmtId="0" fontId="10" fillId="0" borderId="10" xfId="0" applyFont="1" applyBorder="1" applyAlignment="1">
      <alignment vertical="center" wrapText="1"/>
    </xf>
    <xf numFmtId="0" fontId="10" fillId="0" borderId="28" xfId="0" applyFont="1" applyBorder="1" applyAlignment="1">
      <alignment vertical="center" wrapText="1"/>
    </xf>
    <xf numFmtId="0" fontId="10" fillId="0" borderId="24" xfId="0" applyFont="1" applyBorder="1" applyAlignment="1">
      <alignment horizontal="left" vertical="center" wrapText="1"/>
    </xf>
    <xf numFmtId="0" fontId="10" fillId="0" borderId="28" xfId="0" applyFont="1" applyBorder="1" applyAlignment="1">
      <alignment horizontal="left" vertical="center" wrapText="1"/>
    </xf>
    <xf numFmtId="0" fontId="10" fillId="0" borderId="0" xfId="0" applyFont="1" applyBorder="1" applyAlignment="1">
      <alignment vertical="center" wrapText="1"/>
    </xf>
    <xf numFmtId="0" fontId="10" fillId="0" borderId="13" xfId="0" applyFont="1" applyBorder="1" applyAlignment="1">
      <alignment vertical="center" wrapText="1"/>
    </xf>
    <xf numFmtId="0" fontId="14" fillId="6" borderId="0" xfId="0" applyFont="1" applyFill="1"/>
    <xf numFmtId="0" fontId="14" fillId="0" borderId="0" xfId="0" applyFont="1"/>
    <xf numFmtId="0" fontId="14" fillId="2" borderId="0" xfId="0" applyFont="1" applyFill="1"/>
    <xf numFmtId="0" fontId="10" fillId="0" borderId="9" xfId="0" applyFont="1" applyFill="1" applyBorder="1" applyAlignment="1">
      <alignment horizontal="center" vertical="center" wrapText="1"/>
    </xf>
    <xf numFmtId="0" fontId="21" fillId="6" borderId="0" xfId="0" applyFont="1" applyFill="1"/>
    <xf numFmtId="0" fontId="10" fillId="0" borderId="24" xfId="0" applyFont="1" applyFill="1" applyBorder="1" applyAlignment="1">
      <alignment horizontal="center" vertical="center"/>
    </xf>
    <xf numFmtId="0" fontId="10" fillId="0" borderId="24" xfId="0" applyFont="1" applyFill="1" applyBorder="1" applyAlignment="1">
      <alignment wrapText="1"/>
    </xf>
    <xf numFmtId="0" fontId="10" fillId="0" borderId="1" xfId="0" applyFont="1" applyFill="1" applyBorder="1" applyAlignment="1">
      <alignment horizontal="center" vertical="center"/>
    </xf>
    <xf numFmtId="0" fontId="10" fillId="0" borderId="28" xfId="0" applyFont="1" applyFill="1" applyBorder="1" applyAlignment="1">
      <alignment horizontal="center" vertical="center"/>
    </xf>
    <xf numFmtId="0" fontId="10" fillId="0" borderId="28" xfId="0" applyFont="1" applyFill="1" applyBorder="1" applyAlignment="1">
      <alignment wrapText="1"/>
    </xf>
    <xf numFmtId="0" fontId="11" fillId="6" borderId="0" xfId="2" applyFill="1" applyBorder="1" applyAlignment="1">
      <alignment horizontal="center" vertical="center" wrapText="1"/>
    </xf>
    <xf numFmtId="0" fontId="10" fillId="0" borderId="28" xfId="0" applyFont="1" applyFill="1" applyBorder="1" applyAlignment="1">
      <alignment vertical="center" wrapText="1"/>
    </xf>
    <xf numFmtId="0" fontId="11" fillId="8" borderId="1" xfId="2" applyBorder="1" applyAlignment="1">
      <alignment horizontal="center" vertical="center" wrapText="1"/>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0" borderId="10" xfId="0" applyFont="1" applyBorder="1" applyAlignment="1">
      <alignment vertical="center" wrapText="1"/>
    </xf>
    <xf numFmtId="0" fontId="4" fillId="0" borderId="1" xfId="0" applyFont="1" applyBorder="1" applyAlignment="1">
      <alignment horizontal="left" vertical="center" wrapText="1"/>
    </xf>
    <xf numFmtId="0" fontId="11" fillId="8" borderId="35" xfId="2" applyBorder="1" applyAlignment="1">
      <alignment horizontal="center" vertical="center" wrapText="1"/>
    </xf>
    <xf numFmtId="0" fontId="4" fillId="0" borderId="33" xfId="0" applyFont="1" applyBorder="1" applyAlignment="1">
      <alignment horizontal="center" vertical="center" wrapText="1"/>
    </xf>
    <xf numFmtId="0" fontId="4" fillId="0" borderId="24" xfId="0" quotePrefix="1" applyFont="1" applyBorder="1" applyAlignment="1">
      <alignment horizontal="center" vertical="center" wrapText="1"/>
    </xf>
    <xf numFmtId="0" fontId="4" fillId="0" borderId="27" xfId="0" applyFont="1" applyBorder="1" applyAlignment="1">
      <alignment horizontal="center" vertical="center" wrapText="1"/>
    </xf>
    <xf numFmtId="0" fontId="4" fillId="0" borderId="2" xfId="0" quotePrefix="1" applyFont="1" applyBorder="1" applyAlignment="1">
      <alignment horizontal="center" vertical="center" wrapText="1"/>
    </xf>
    <xf numFmtId="0" fontId="4" fillId="0" borderId="2" xfId="0" applyFont="1" applyBorder="1" applyAlignment="1">
      <alignment horizontal="left" vertical="top" wrapText="1"/>
    </xf>
    <xf numFmtId="0" fontId="18" fillId="6" borderId="0" xfId="2" applyFont="1" applyFill="1" applyBorder="1" applyAlignment="1">
      <alignment horizontal="center" vertical="center" wrapText="1"/>
    </xf>
    <xf numFmtId="0" fontId="4" fillId="0" borderId="2" xfId="3" applyFont="1" applyBorder="1" applyAlignment="1">
      <alignment horizontal="center" vertical="center" wrapText="1"/>
    </xf>
    <xf numFmtId="0" fontId="4" fillId="0" borderId="28" xfId="3" applyFont="1" applyBorder="1" applyAlignment="1">
      <alignment horizontal="center" vertical="center" wrapText="1"/>
    </xf>
    <xf numFmtId="0" fontId="18" fillId="6" borderId="2" xfId="2" applyFont="1" applyFill="1" applyBorder="1" applyAlignment="1">
      <alignment horizontal="center" vertical="center"/>
    </xf>
    <xf numFmtId="0" fontId="18" fillId="6" borderId="1" xfId="2" applyFont="1" applyFill="1" applyBorder="1" applyAlignment="1">
      <alignment horizontal="center" vertical="center"/>
    </xf>
    <xf numFmtId="0" fontId="4" fillId="0" borderId="1" xfId="0" quotePrefix="1" applyFont="1" applyFill="1" applyBorder="1" applyAlignment="1">
      <alignment horizontal="center" vertical="center" wrapText="1"/>
    </xf>
    <xf numFmtId="0" fontId="4" fillId="0" borderId="28" xfId="0" quotePrefix="1" applyFont="1" applyFill="1" applyBorder="1" applyAlignment="1">
      <alignment horizontal="center" vertical="center" wrapText="1"/>
    </xf>
    <xf numFmtId="0" fontId="4" fillId="0" borderId="2" xfId="3" quotePrefix="1" applyFont="1" applyBorder="1" applyAlignment="1">
      <alignment horizontal="center" vertical="center" wrapText="1"/>
    </xf>
    <xf numFmtId="0" fontId="4" fillId="0" borderId="33" xfId="0" applyFont="1" applyBorder="1" applyAlignment="1">
      <alignment horizontal="left" vertical="center" wrapText="1"/>
    </xf>
    <xf numFmtId="0" fontId="3" fillId="0" borderId="8" xfId="0" applyFont="1" applyBorder="1" applyAlignment="1">
      <alignment horizontal="left" vertical="center" wrapText="1"/>
    </xf>
    <xf numFmtId="0" fontId="4" fillId="0" borderId="2" xfId="3" applyFont="1" applyFill="1" applyBorder="1" applyAlignment="1">
      <alignment horizontal="center" vertical="center"/>
    </xf>
    <xf numFmtId="0" fontId="4" fillId="0" borderId="1" xfId="3" applyFont="1" applyFill="1" applyBorder="1" applyAlignment="1">
      <alignment horizontal="center" vertical="center"/>
    </xf>
    <xf numFmtId="0" fontId="4" fillId="0" borderId="28" xfId="3" applyFont="1" applyFill="1" applyBorder="1" applyAlignment="1">
      <alignment horizontal="center" vertical="center"/>
    </xf>
    <xf numFmtId="0" fontId="18" fillId="6" borderId="0" xfId="2" quotePrefix="1" applyFont="1" applyFill="1" applyBorder="1" applyAlignment="1">
      <alignment horizontal="center" vertical="center" wrapText="1"/>
    </xf>
    <xf numFmtId="0" fontId="18" fillId="0" borderId="24" xfId="2" applyFont="1" applyFill="1" applyBorder="1" applyAlignment="1">
      <alignment horizontal="center" vertical="center" wrapText="1"/>
    </xf>
    <xf numFmtId="0" fontId="23" fillId="6" borderId="0" xfId="0" applyFont="1" applyFill="1" applyAlignment="1">
      <alignment horizontal="left" vertical="center"/>
    </xf>
    <xf numFmtId="0" fontId="4" fillId="0" borderId="24" xfId="1" applyFont="1" applyFill="1" applyBorder="1" applyAlignment="1">
      <alignment horizontal="center" vertical="center" wrapText="1"/>
    </xf>
    <xf numFmtId="0" fontId="4" fillId="6" borderId="17" xfId="3" applyFont="1" applyFill="1" applyBorder="1" applyAlignment="1">
      <alignment horizontal="left" vertical="center" wrapText="1"/>
    </xf>
    <xf numFmtId="0" fontId="4" fillId="6" borderId="17" xfId="0" quotePrefix="1" applyFont="1" applyFill="1" applyBorder="1" applyAlignment="1">
      <alignment horizontal="center" vertical="center" wrapText="1"/>
    </xf>
    <xf numFmtId="0" fontId="18" fillId="6" borderId="17" xfId="2" applyFont="1" applyFill="1" applyBorder="1" applyAlignment="1">
      <alignment horizontal="center" vertical="center"/>
    </xf>
    <xf numFmtId="0" fontId="4" fillId="6" borderId="17" xfId="3" applyFont="1" applyFill="1" applyBorder="1" applyAlignment="1">
      <alignment horizontal="center" vertical="center" wrapText="1"/>
    </xf>
    <xf numFmtId="0" fontId="4" fillId="6" borderId="17" xfId="0" applyFont="1" applyFill="1" applyBorder="1" applyAlignment="1">
      <alignment horizontal="center" vertical="center"/>
    </xf>
    <xf numFmtId="0" fontId="18" fillId="0" borderId="1" xfId="2" applyFont="1" applyFill="1" applyBorder="1" applyAlignment="1">
      <alignment horizontal="center" vertical="center" wrapText="1"/>
    </xf>
    <xf numFmtId="0" fontId="18" fillId="0" borderId="28" xfId="2" applyFont="1" applyFill="1" applyBorder="1" applyAlignment="1">
      <alignment horizontal="center" vertical="center" wrapText="1"/>
    </xf>
    <xf numFmtId="0" fontId="10" fillId="6" borderId="0" xfId="0" applyFont="1" applyFill="1" applyAlignment="1">
      <alignment vertical="center"/>
    </xf>
    <xf numFmtId="0" fontId="4" fillId="0" borderId="1" xfId="0" applyFont="1" applyBorder="1" applyAlignment="1">
      <alignment wrapText="1"/>
    </xf>
    <xf numFmtId="0" fontId="4" fillId="0" borderId="1" xfId="0" quotePrefix="1" applyFont="1" applyBorder="1" applyAlignment="1">
      <alignment horizontal="center" vertical="center"/>
    </xf>
    <xf numFmtId="0" fontId="24" fillId="6" borderId="0" xfId="0" applyFont="1" applyFill="1" applyAlignment="1">
      <alignment wrapText="1"/>
    </xf>
    <xf numFmtId="0" fontId="24" fillId="6" borderId="0" xfId="0" applyFont="1" applyFill="1" applyAlignment="1">
      <alignment vertical="center" wrapText="1"/>
    </xf>
    <xf numFmtId="0" fontId="24" fillId="6" borderId="0" xfId="0" applyFont="1" applyFill="1" applyAlignment="1">
      <alignment horizontal="left" vertical="center" wrapText="1"/>
    </xf>
    <xf numFmtId="0" fontId="10" fillId="0" borderId="0" xfId="0" applyFont="1" applyFill="1" applyBorder="1" applyAlignment="1">
      <alignment wrapText="1"/>
    </xf>
    <xf numFmtId="0" fontId="0" fillId="0" borderId="0" xfId="0" applyFill="1" applyBorder="1" applyAlignment="1">
      <alignment horizontal="center" vertical="center"/>
    </xf>
    <xf numFmtId="0" fontId="0" fillId="6" borderId="0" xfId="0" applyFill="1" applyBorder="1" applyAlignment="1">
      <alignment vertical="center" wrapText="1"/>
    </xf>
    <xf numFmtId="0" fontId="11" fillId="8" borderId="22" xfId="2" applyBorder="1" applyAlignment="1">
      <alignment horizontal="center" vertical="center" wrapText="1"/>
    </xf>
    <xf numFmtId="0" fontId="10" fillId="0" borderId="1" xfId="0" applyFont="1" applyBorder="1" applyAlignment="1">
      <alignment horizontal="left" vertical="center" wrapText="1"/>
    </xf>
    <xf numFmtId="0" fontId="10" fillId="7" borderId="1" xfId="1" applyFont="1" applyFill="1" applyBorder="1" applyAlignment="1">
      <alignment horizontal="center" vertical="center" wrapText="1"/>
    </xf>
    <xf numFmtId="0" fontId="10" fillId="7" borderId="28" xfId="1" applyFont="1" applyFill="1" applyBorder="1" applyAlignment="1">
      <alignment horizontal="center" vertical="center" wrapText="1"/>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22" fillId="0" borderId="0" xfId="0" applyFont="1" applyFill="1"/>
    <xf numFmtId="0" fontId="10" fillId="0" borderId="1" xfId="0" applyFont="1" applyFill="1" applyBorder="1" applyAlignment="1">
      <alignment wrapText="1"/>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0" fillId="0" borderId="10" xfId="0" applyFont="1" applyBorder="1" applyAlignment="1">
      <alignment vertical="center" wrapText="1"/>
    </xf>
    <xf numFmtId="0" fontId="10" fillId="0" borderId="36" xfId="0" applyFont="1" applyBorder="1" applyAlignment="1">
      <alignment horizontal="center" vertical="center" wrapText="1"/>
    </xf>
    <xf numFmtId="0" fontId="10" fillId="0" borderId="37" xfId="0" applyFont="1" applyBorder="1" applyAlignment="1">
      <alignment horizontal="center" vertical="center"/>
    </xf>
    <xf numFmtId="0" fontId="10" fillId="0" borderId="36"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37" xfId="1" applyFont="1" applyFill="1" applyBorder="1" applyAlignment="1">
      <alignment horizontal="center" vertical="center" wrapText="1"/>
    </xf>
    <xf numFmtId="0" fontId="10" fillId="0" borderId="37" xfId="0" applyFont="1" applyFill="1" applyBorder="1" applyAlignment="1">
      <alignment horizontal="center" vertical="center"/>
    </xf>
    <xf numFmtId="0" fontId="10" fillId="0" borderId="37" xfId="0" applyFont="1" applyFill="1" applyBorder="1" applyAlignment="1">
      <alignment wrapText="1"/>
    </xf>
    <xf numFmtId="0" fontId="10" fillId="0" borderId="38" xfId="0" applyNumberFormat="1" applyFont="1" applyFill="1" applyBorder="1" applyAlignment="1">
      <alignment horizontal="center"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6" borderId="0" xfId="0" applyFont="1" applyFill="1" applyBorder="1" applyAlignment="1">
      <alignment horizontal="center" vertical="center" wrapText="1"/>
    </xf>
    <xf numFmtId="0" fontId="10" fillId="6" borderId="0" xfId="0" applyFont="1" applyFill="1" applyBorder="1" applyAlignment="1">
      <alignment vertical="center" wrapText="1"/>
    </xf>
    <xf numFmtId="0" fontId="0" fillId="6" borderId="0" xfId="0" applyFill="1" applyBorder="1" applyAlignment="1">
      <alignment horizontal="center" vertical="center"/>
    </xf>
    <xf numFmtId="0" fontId="4" fillId="6" borderId="0" xfId="0" quotePrefix="1" applyFont="1" applyFill="1" applyBorder="1"/>
    <xf numFmtId="0" fontId="25" fillId="0" borderId="24" xfId="0" applyFont="1" applyBorder="1" applyAlignment="1">
      <alignment vertical="center" wrapText="1"/>
    </xf>
    <xf numFmtId="0" fontId="25" fillId="0" borderId="1" xfId="0" applyFont="1" applyBorder="1" applyAlignment="1">
      <alignment vertical="center" wrapText="1"/>
    </xf>
    <xf numFmtId="0" fontId="25" fillId="0" borderId="28" xfId="0" applyFont="1" applyBorder="1" applyAlignment="1">
      <alignment vertical="center" wrapText="1"/>
    </xf>
    <xf numFmtId="0" fontId="9" fillId="0" borderId="5" xfId="0" applyFont="1" applyBorder="1" applyAlignment="1">
      <alignment horizontal="center" wrapText="1"/>
    </xf>
    <xf numFmtId="0" fontId="9" fillId="0" borderId="6" xfId="0" applyFont="1" applyFill="1" applyBorder="1" applyAlignment="1">
      <alignment horizontal="center" wrapText="1"/>
    </xf>
    <xf numFmtId="0" fontId="9" fillId="0" borderId="52" xfId="1" applyFont="1" applyFill="1" applyBorder="1" applyAlignment="1">
      <alignment horizontal="center" wrapText="1"/>
    </xf>
    <xf numFmtId="0" fontId="9" fillId="0" borderId="6" xfId="0" applyFont="1" applyBorder="1" applyAlignment="1">
      <alignment horizontal="center" wrapText="1"/>
    </xf>
    <xf numFmtId="0" fontId="9" fillId="0" borderId="6" xfId="0" applyFont="1" applyBorder="1" applyAlignment="1">
      <alignment horizontal="center"/>
    </xf>
    <xf numFmtId="0" fontId="9" fillId="0" borderId="7" xfId="0" applyFont="1" applyFill="1" applyBorder="1" applyAlignment="1">
      <alignment horizontal="center" wrapText="1"/>
    </xf>
    <xf numFmtId="0" fontId="4" fillId="0" borderId="30" xfId="0" applyFont="1" applyBorder="1" applyAlignment="1">
      <alignment horizontal="center" vertical="center" wrapText="1"/>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6" borderId="0" xfId="0" applyFont="1" applyFill="1" applyAlignment="1">
      <alignment horizontal="left"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8" fillId="0" borderId="46" xfId="2" applyFont="1" applyFill="1" applyBorder="1" applyAlignment="1">
      <alignment horizontal="center" vertical="center" wrapText="1"/>
    </xf>
    <xf numFmtId="0" fontId="10" fillId="6" borderId="0" xfId="0" applyFont="1" applyFill="1" applyBorder="1" applyAlignment="1">
      <alignment horizontal="center" vertical="center"/>
    </xf>
    <xf numFmtId="0" fontId="0" fillId="6" borderId="1" xfId="0" applyFill="1" applyBorder="1" applyAlignment="1">
      <alignment horizontal="center" vertical="center"/>
    </xf>
    <xf numFmtId="0" fontId="4" fillId="6" borderId="33" xfId="0" applyFont="1" applyFill="1" applyBorder="1"/>
    <xf numFmtId="0" fontId="3" fillId="0" borderId="24" xfId="3" applyFont="1" applyBorder="1" applyAlignment="1">
      <alignment horizontal="left" wrapText="1"/>
    </xf>
    <xf numFmtId="0" fontId="4" fillId="6" borderId="8" xfId="0" applyFont="1" applyFill="1" applyBorder="1"/>
    <xf numFmtId="0" fontId="4" fillId="6" borderId="9" xfId="0" applyFont="1" applyFill="1" applyBorder="1"/>
    <xf numFmtId="0" fontId="4" fillId="6" borderId="0" xfId="0" applyFont="1" applyFill="1" applyBorder="1"/>
    <xf numFmtId="0" fontId="4" fillId="0" borderId="0" xfId="0" quotePrefix="1" applyFont="1" applyBorder="1" applyAlignment="1">
      <alignment horizontal="center" vertical="center" wrapText="1"/>
    </xf>
    <xf numFmtId="0" fontId="4" fillId="0" borderId="0" xfId="0" applyFont="1" applyBorder="1" applyAlignment="1">
      <alignment horizontal="center" vertical="center" wrapText="1"/>
    </xf>
    <xf numFmtId="0" fontId="4" fillId="6" borderId="0" xfId="0" applyFont="1" applyFill="1" applyBorder="1" applyAlignment="1">
      <alignment wrapText="1"/>
    </xf>
    <xf numFmtId="0" fontId="4" fillId="0" borderId="2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8" xfId="0" applyFont="1" applyFill="1" applyBorder="1" applyAlignment="1">
      <alignment horizontal="center" vertical="center"/>
    </xf>
    <xf numFmtId="0" fontId="10" fillId="0" borderId="0" xfId="0" applyFont="1" applyFill="1" applyBorder="1" applyAlignment="1">
      <alignment vertical="center" wrapText="1"/>
    </xf>
    <xf numFmtId="0" fontId="10" fillId="0" borderId="0" xfId="0" applyFont="1" applyFill="1"/>
    <xf numFmtId="0" fontId="4" fillId="0" borderId="0" xfId="0" quotePrefix="1" applyFont="1" applyFill="1"/>
    <xf numFmtId="0" fontId="18" fillId="0" borderId="49" xfId="2" applyFont="1" applyFill="1" applyBorder="1" applyAlignment="1">
      <alignment horizontal="center" vertical="center" wrapText="1"/>
    </xf>
    <xf numFmtId="0" fontId="18" fillId="0" borderId="0" xfId="2" applyFont="1" applyFill="1" applyBorder="1" applyAlignment="1">
      <alignment horizontal="center" vertical="center" wrapText="1"/>
    </xf>
    <xf numFmtId="0" fontId="10" fillId="0" borderId="0" xfId="0" applyFont="1" applyBorder="1" applyAlignment="1">
      <alignment horizontal="left" vertical="center" wrapText="1"/>
    </xf>
    <xf numFmtId="0" fontId="16" fillId="0" borderId="1" xfId="2" quotePrefix="1" applyFont="1" applyFill="1" applyBorder="1" applyAlignment="1">
      <alignment horizontal="center" vertical="center" wrapText="1"/>
    </xf>
    <xf numFmtId="0" fontId="16" fillId="0" borderId="24" xfId="2" quotePrefix="1" applyFont="1" applyFill="1" applyBorder="1" applyAlignment="1">
      <alignment horizontal="center" vertical="center" wrapText="1"/>
    </xf>
    <xf numFmtId="0" fontId="16" fillId="0" borderId="28" xfId="2" quotePrefix="1" applyFont="1" applyFill="1" applyBorder="1" applyAlignment="1">
      <alignment horizontal="center" vertical="center" wrapText="1"/>
    </xf>
    <xf numFmtId="0" fontId="18" fillId="0" borderId="1" xfId="2" quotePrefix="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3" applyFont="1" applyFill="1" applyBorder="1" applyAlignment="1">
      <alignment horizontal="left" vertical="top" wrapText="1"/>
    </xf>
    <xf numFmtId="0" fontId="4" fillId="0" borderId="1" xfId="3" applyFont="1" applyBorder="1" applyAlignment="1">
      <alignment horizontal="left" vertical="center" wrapText="1"/>
    </xf>
    <xf numFmtId="0" fontId="4" fillId="0" borderId="2" xfId="3" applyFont="1" applyBorder="1" applyAlignment="1">
      <alignment horizontal="left" vertical="center" wrapText="1"/>
    </xf>
    <xf numFmtId="0" fontId="10" fillId="7" borderId="28" xfId="0" applyFont="1" applyFill="1" applyBorder="1" applyAlignment="1">
      <alignment horizontal="center" vertical="center" wrapText="1"/>
    </xf>
    <xf numFmtId="0" fontId="4" fillId="0" borderId="24" xfId="3" quotePrefix="1" applyFill="1" applyBorder="1" applyAlignment="1">
      <alignment horizontal="center" vertical="center"/>
    </xf>
    <xf numFmtId="0" fontId="4" fillId="0" borderId="28" xfId="3" quotePrefix="1" applyFill="1" applyBorder="1" applyAlignment="1">
      <alignment horizontal="center" vertical="center"/>
    </xf>
    <xf numFmtId="0" fontId="4" fillId="0" borderId="0" xfId="3" quotePrefix="1" applyFill="1" applyBorder="1" applyAlignment="1">
      <alignment horizontal="center" vertical="center"/>
    </xf>
    <xf numFmtId="0" fontId="4" fillId="0" borderId="1" xfId="3" quotePrefix="1" applyFill="1" applyBorder="1" applyAlignment="1">
      <alignment horizontal="center" vertical="center"/>
    </xf>
    <xf numFmtId="0" fontId="4" fillId="0" borderId="0" xfId="1" applyFont="1" applyFill="1" applyBorder="1" applyAlignment="1">
      <alignment horizontal="center" wrapText="1"/>
    </xf>
    <xf numFmtId="0" fontId="4" fillId="6" borderId="1" xfId="0" applyFont="1" applyFill="1" applyBorder="1" applyAlignment="1">
      <alignment horizontal="center" vertical="center"/>
    </xf>
    <xf numFmtId="0" fontId="4" fillId="2" borderId="0" xfId="0" applyFont="1" applyFill="1"/>
    <xf numFmtId="0" fontId="10" fillId="7" borderId="24" xfId="0" applyFont="1" applyFill="1" applyBorder="1" applyAlignment="1">
      <alignment horizontal="center" vertical="center" wrapText="1"/>
    </xf>
    <xf numFmtId="0" fontId="4" fillId="7" borderId="1" xfId="3" quotePrefix="1" applyFill="1" applyBorder="1" applyAlignment="1">
      <alignment horizontal="center"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3" xfId="0" quotePrefix="1"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13" xfId="3" applyFont="1" applyFill="1" applyBorder="1" applyAlignment="1">
      <alignment horizontal="left" vertical="top" wrapText="1"/>
    </xf>
    <xf numFmtId="0" fontId="4" fillId="0" borderId="10" xfId="0" quotePrefix="1" applyFont="1" applyFill="1" applyBorder="1" applyAlignment="1">
      <alignment horizontal="center" vertical="center" wrapText="1"/>
    </xf>
    <xf numFmtId="0" fontId="4" fillId="0" borderId="10" xfId="0" applyFont="1" applyFill="1" applyBorder="1" applyAlignment="1">
      <alignment horizontal="center" vertical="center"/>
    </xf>
    <xf numFmtId="0" fontId="4" fillId="0" borderId="10" xfId="3" applyFont="1" applyFill="1" applyBorder="1" applyAlignment="1">
      <alignment horizontal="left" vertical="top" wrapText="1"/>
    </xf>
    <xf numFmtId="0" fontId="4" fillId="0" borderId="33" xfId="3" applyFont="1" applyFill="1" applyBorder="1" applyAlignment="1">
      <alignment horizontal="left" vertical="center" wrapText="1"/>
    </xf>
    <xf numFmtId="0" fontId="4" fillId="0" borderId="24" xfId="3" applyFont="1" applyBorder="1" applyAlignment="1">
      <alignment horizontal="center" vertical="center" wrapText="1"/>
    </xf>
    <xf numFmtId="0" fontId="4" fillId="0" borderId="8" xfId="3"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8" xfId="3" applyFont="1" applyBorder="1" applyAlignment="1">
      <alignment horizontal="left" vertical="center" wrapText="1"/>
    </xf>
    <xf numFmtId="0" fontId="4" fillId="0" borderId="27" xfId="3" applyFont="1" applyBorder="1" applyAlignment="1">
      <alignment horizontal="left" vertical="center" wrapText="1"/>
    </xf>
    <xf numFmtId="0" fontId="4" fillId="0" borderId="9" xfId="3" applyFont="1" applyBorder="1" applyAlignment="1">
      <alignment horizontal="left" vertical="center" wrapText="1"/>
    </xf>
    <xf numFmtId="0" fontId="4" fillId="0" borderId="30" xfId="0" quotePrefix="1" applyFont="1" applyFill="1" applyBorder="1" applyAlignment="1">
      <alignment horizontal="center" vertical="center" wrapText="1"/>
    </xf>
    <xf numFmtId="0" fontId="4" fillId="0" borderId="28" xfId="3" applyBorder="1" applyAlignment="1">
      <alignment horizontal="center" vertical="center"/>
    </xf>
    <xf numFmtId="0" fontId="4" fillId="0" borderId="28" xfId="3" applyFont="1" applyBorder="1" applyAlignment="1">
      <alignment horizontal="left" vertical="center" wrapText="1"/>
    </xf>
    <xf numFmtId="0" fontId="0" fillId="0" borderId="1" xfId="0" applyBorder="1" applyAlignment="1">
      <alignment horizontal="center" vertical="center"/>
    </xf>
    <xf numFmtId="0" fontId="0" fillId="0" borderId="28" xfId="0" applyBorder="1" applyAlignment="1">
      <alignment horizontal="center"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0" fillId="6" borderId="1" xfId="0" applyFill="1" applyBorder="1" applyAlignment="1">
      <alignment horizontal="center" vertical="center"/>
    </xf>
    <xf numFmtId="0" fontId="11" fillId="8" borderId="22" xfId="2" applyBorder="1" applyAlignment="1">
      <alignment horizontal="center" vertical="center"/>
    </xf>
    <xf numFmtId="0" fontId="11" fillId="8" borderId="35" xfId="2" applyBorder="1" applyAlignment="1">
      <alignment horizontal="center" vertical="center"/>
    </xf>
    <xf numFmtId="0" fontId="4" fillId="0" borderId="28" xfId="0" applyFont="1" applyFill="1" applyBorder="1" applyAlignment="1">
      <alignment horizontal="center" vertical="center"/>
    </xf>
    <xf numFmtId="0" fontId="19" fillId="0" borderId="0" xfId="0" applyFont="1" applyAlignment="1">
      <alignment horizontal="left" vertical="center"/>
    </xf>
    <xf numFmtId="0" fontId="19" fillId="0" borderId="0" xfId="0" applyFont="1" applyAlignment="1">
      <alignment horizontal="center" vertical="center"/>
    </xf>
    <xf numFmtId="0" fontId="4" fillId="0" borderId="28" xfId="0" applyFont="1" applyFill="1" applyBorder="1" applyAlignment="1">
      <alignment horizontal="center" vertical="center"/>
    </xf>
    <xf numFmtId="0" fontId="10" fillId="0" borderId="10" xfId="0" applyFont="1" applyBorder="1" applyAlignment="1">
      <alignment horizontal="center" vertical="center"/>
    </xf>
    <xf numFmtId="0" fontId="10" fillId="0" borderId="2" xfId="0" applyFont="1" applyBorder="1" applyAlignment="1">
      <alignment horizontal="center"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3" fillId="0" borderId="1" xfId="3" applyFont="1" applyBorder="1" applyAlignment="1">
      <alignment horizontal="left" wrapText="1"/>
    </xf>
    <xf numFmtId="0" fontId="3" fillId="0" borderId="28" xfId="3" applyFont="1" applyBorder="1" applyAlignment="1">
      <alignment horizontal="left" wrapText="1"/>
    </xf>
    <xf numFmtId="0" fontId="4" fillId="0" borderId="27" xfId="0" applyFont="1" applyBorder="1" applyAlignment="1">
      <alignment horizontal="left" vertical="center" wrapText="1"/>
    </xf>
    <xf numFmtId="0" fontId="3" fillId="0" borderId="2" xfId="3" applyFont="1" applyBorder="1" applyAlignment="1">
      <alignment horizontal="left" wrapText="1"/>
    </xf>
    <xf numFmtId="0" fontId="4" fillId="0" borderId="0" xfId="0" applyFont="1" applyBorder="1" applyAlignment="1">
      <alignment horizontal="left" vertical="center" wrapText="1"/>
    </xf>
    <xf numFmtId="0" fontId="4" fillId="0" borderId="0" xfId="3" applyFont="1" applyFill="1" applyBorder="1" applyAlignment="1">
      <alignment horizontal="center" vertical="center"/>
    </xf>
    <xf numFmtId="0" fontId="3" fillId="0" borderId="0" xfId="3" applyFont="1" applyBorder="1" applyAlignment="1">
      <alignment horizontal="left" wrapText="1"/>
    </xf>
    <xf numFmtId="0" fontId="4" fillId="0" borderId="0" xfId="0" applyFont="1" applyBorder="1" applyAlignment="1">
      <alignment horizontal="center" vertical="center"/>
    </xf>
    <xf numFmtId="0" fontId="4" fillId="0" borderId="37" xfId="0" quotePrefix="1" applyFont="1" applyFill="1" applyBorder="1" applyAlignment="1">
      <alignment horizontal="center" vertical="center" wrapText="1"/>
    </xf>
    <xf numFmtId="0" fontId="11" fillId="8" borderId="22" xfId="2" applyAlignment="1">
      <alignment horizontal="center" vertical="center"/>
    </xf>
    <xf numFmtId="0" fontId="4" fillId="0" borderId="38" xfId="3" applyFont="1" applyFill="1" applyBorder="1" applyAlignment="1">
      <alignment horizontal="left" wrapText="1"/>
    </xf>
    <xf numFmtId="0" fontId="4" fillId="0" borderId="37" xfId="0" applyFont="1" applyFill="1" applyBorder="1" applyAlignment="1">
      <alignment horizontal="center" vertical="center"/>
    </xf>
    <xf numFmtId="0" fontId="4" fillId="0" borderId="37" xfId="3" applyFont="1" applyBorder="1" applyAlignment="1">
      <alignment horizontal="center" vertical="center" wrapText="1"/>
    </xf>
    <xf numFmtId="0" fontId="4" fillId="0" borderId="38" xfId="0" applyFont="1" applyFill="1" applyBorder="1" applyAlignment="1">
      <alignment horizontal="center" vertical="center"/>
    </xf>
    <xf numFmtId="0" fontId="4" fillId="0" borderId="36" xfId="0" applyFont="1" applyFill="1" applyBorder="1" applyAlignment="1">
      <alignment horizontal="center" vertical="center"/>
    </xf>
    <xf numFmtId="0" fontId="0" fillId="0" borderId="1" xfId="0" applyFill="1" applyBorder="1" applyAlignment="1">
      <alignment horizontal="center" vertical="center"/>
    </xf>
    <xf numFmtId="0" fontId="3" fillId="0" borderId="5" xfId="0" applyFont="1" applyFill="1" applyBorder="1" applyAlignment="1">
      <alignment horizontal="center" wrapText="1"/>
    </xf>
    <xf numFmtId="0" fontId="3" fillId="0" borderId="59" xfId="0" applyFont="1" applyFill="1" applyBorder="1" applyAlignment="1">
      <alignment horizontal="center" wrapText="1"/>
    </xf>
    <xf numFmtId="0" fontId="3" fillId="0" borderId="59" xfId="0" applyFont="1" applyBorder="1" applyAlignment="1">
      <alignment horizontal="center" wrapText="1"/>
    </xf>
    <xf numFmtId="0" fontId="3" fillId="0" borderId="5" xfId="0" applyFont="1" applyBorder="1" applyAlignment="1">
      <alignment horizontal="center"/>
    </xf>
    <xf numFmtId="0" fontId="4" fillId="6" borderId="33" xfId="0" applyFont="1" applyFill="1" applyBorder="1" applyAlignment="1">
      <alignment wrapText="1"/>
    </xf>
    <xf numFmtId="0" fontId="0" fillId="0" borderId="24" xfId="0" applyFill="1" applyBorder="1" applyAlignment="1">
      <alignment horizontal="center" vertical="center"/>
    </xf>
    <xf numFmtId="0" fontId="4" fillId="6" borderId="8" xfId="0" applyFont="1" applyFill="1" applyBorder="1" applyAlignment="1">
      <alignment wrapText="1"/>
    </xf>
    <xf numFmtId="0" fontId="4" fillId="6" borderId="9" xfId="0" applyFont="1" applyFill="1" applyBorder="1" applyAlignment="1">
      <alignment wrapText="1"/>
    </xf>
    <xf numFmtId="0" fontId="4" fillId="0" borderId="25" xfId="3" applyFont="1" applyBorder="1" applyAlignment="1">
      <alignment horizontal="left" wrapText="1"/>
    </xf>
    <xf numFmtId="0" fontId="4" fillId="6" borderId="26" xfId="0" applyFont="1" applyFill="1" applyBorder="1" applyAlignment="1">
      <alignment wrapText="1"/>
    </xf>
    <xf numFmtId="0" fontId="0" fillId="0" borderId="28" xfId="0" applyFill="1" applyBorder="1" applyAlignment="1">
      <alignment horizontal="center" vertical="center"/>
    </xf>
    <xf numFmtId="0" fontId="4" fillId="6" borderId="29" xfId="0" applyFont="1" applyFill="1" applyBorder="1" applyAlignment="1">
      <alignment wrapText="1"/>
    </xf>
    <xf numFmtId="0" fontId="4" fillId="6" borderId="25" xfId="0" applyFont="1" applyFill="1" applyBorder="1" applyAlignment="1">
      <alignment wrapText="1"/>
    </xf>
    <xf numFmtId="0" fontId="4" fillId="6" borderId="33" xfId="0" applyFont="1" applyFill="1" applyBorder="1" applyAlignment="1">
      <alignment horizontal="center" vertical="center"/>
    </xf>
    <xf numFmtId="0" fontId="4" fillId="6" borderId="8" xfId="0" applyFont="1" applyFill="1" applyBorder="1" applyAlignment="1">
      <alignment horizontal="center" vertical="center"/>
    </xf>
    <xf numFmtId="0" fontId="4" fillId="6" borderId="9" xfId="0" applyFont="1" applyFill="1" applyBorder="1" applyAlignment="1">
      <alignment horizontal="center" vertical="center"/>
    </xf>
    <xf numFmtId="0" fontId="4" fillId="0" borderId="36" xfId="3" applyFont="1" applyFill="1" applyBorder="1" applyAlignment="1">
      <alignment horizontal="center" vertical="center" wrapText="1"/>
    </xf>
    <xf numFmtId="0" fontId="4" fillId="6" borderId="24" xfId="0" applyFont="1" applyFill="1" applyBorder="1" applyAlignment="1">
      <alignment vertical="top" wrapText="1"/>
    </xf>
    <xf numFmtId="0" fontId="4" fillId="6" borderId="1" xfId="0" applyFont="1" applyFill="1" applyBorder="1" applyAlignment="1">
      <alignment vertical="top" wrapText="1"/>
    </xf>
    <xf numFmtId="0" fontId="4" fillId="6" borderId="28" xfId="0" applyFont="1" applyFill="1" applyBorder="1" applyAlignment="1">
      <alignment vertical="top" wrapText="1"/>
    </xf>
    <xf numFmtId="0" fontId="11" fillId="8" borderId="1" xfId="2" quotePrefix="1" applyBorder="1" applyAlignment="1">
      <alignment horizontal="center" vertical="center" wrapText="1"/>
    </xf>
    <xf numFmtId="0" fontId="11" fillId="8" borderId="1" xfId="2" applyBorder="1" applyAlignment="1">
      <alignment horizontal="center" vertical="center"/>
    </xf>
    <xf numFmtId="0" fontId="11" fillId="8" borderId="24" xfId="2" applyBorder="1" applyAlignment="1">
      <alignment horizontal="center" vertical="center"/>
    </xf>
    <xf numFmtId="0" fontId="11" fillId="10" borderId="28" xfId="2" applyFill="1" applyBorder="1" applyAlignment="1">
      <alignment horizontal="center" vertical="center" wrapText="1"/>
    </xf>
    <xf numFmtId="0" fontId="11" fillId="8" borderId="1" xfId="2" quotePrefix="1" applyBorder="1" applyAlignment="1">
      <alignment horizontal="center" vertical="center"/>
    </xf>
    <xf numFmtId="0" fontId="11" fillId="8" borderId="24" xfId="2" quotePrefix="1" applyBorder="1" applyAlignment="1">
      <alignment horizontal="center" vertical="center"/>
    </xf>
    <xf numFmtId="0" fontId="11" fillId="8" borderId="28" xfId="2" quotePrefix="1" applyBorder="1" applyAlignment="1">
      <alignment horizontal="center" vertical="center"/>
    </xf>
    <xf numFmtId="0" fontId="11" fillId="8" borderId="28" xfId="2" quotePrefix="1" applyBorder="1" applyAlignment="1">
      <alignment horizontal="center" vertical="center" wrapText="1"/>
    </xf>
    <xf numFmtId="0" fontId="18" fillId="0" borderId="28" xfId="2" quotePrefix="1" applyFont="1" applyFill="1" applyBorder="1" applyAlignment="1">
      <alignment horizontal="center" vertical="center" wrapText="1"/>
    </xf>
    <xf numFmtId="0" fontId="18" fillId="0" borderId="46" xfId="2" quotePrefix="1" applyFont="1" applyFill="1" applyBorder="1" applyAlignment="1">
      <alignment horizontal="center" vertical="center" wrapText="1"/>
    </xf>
    <xf numFmtId="0" fontId="18" fillId="0" borderId="35" xfId="2"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8" fillId="0" borderId="1" xfId="1" applyFont="1" applyFill="1" applyBorder="1" applyAlignment="1">
      <alignment horizontal="center" vertical="center" wrapText="1"/>
    </xf>
    <xf numFmtId="0" fontId="18" fillId="0" borderId="24" xfId="2" quotePrefix="1" applyFont="1" applyFill="1" applyBorder="1" applyAlignment="1">
      <alignment horizontal="center" vertical="center" wrapText="1"/>
    </xf>
    <xf numFmtId="0" fontId="4" fillId="0" borderId="24" xfId="0" applyFont="1" applyBorder="1" applyAlignment="1">
      <alignment horizontal="center" vertical="center"/>
    </xf>
    <xf numFmtId="0" fontId="4" fillId="0" borderId="28" xfId="0" applyFont="1" applyBorder="1" applyAlignment="1">
      <alignment horizontal="center" vertical="center"/>
    </xf>
    <xf numFmtId="0" fontId="4" fillId="0" borderId="1" xfId="3" applyFont="1" applyFill="1" applyBorder="1" applyAlignment="1">
      <alignment horizontal="left" vertical="center" wrapText="1"/>
    </xf>
    <xf numFmtId="0" fontId="4" fillId="0" borderId="28" xfId="3" applyFont="1" applyFill="1" applyBorder="1" applyAlignment="1">
      <alignment horizontal="left" vertical="center" wrapText="1"/>
    </xf>
    <xf numFmtId="0" fontId="3" fillId="0" borderId="24" xfId="0" quotePrefix="1" applyFont="1" applyBorder="1" applyAlignment="1">
      <alignment horizontal="center" vertical="center" wrapText="1"/>
    </xf>
    <xf numFmtId="0" fontId="3" fillId="0" borderId="1" xfId="0" quotePrefix="1" applyFont="1" applyBorder="1" applyAlignment="1">
      <alignment horizontal="center" vertical="center" wrapText="1"/>
    </xf>
    <xf numFmtId="0" fontId="10" fillId="0" borderId="10" xfId="0" applyFont="1" applyBorder="1" applyAlignment="1">
      <alignment horizontal="left" vertical="center" wrapText="1"/>
    </xf>
    <xf numFmtId="0" fontId="10" fillId="0" borderId="37" xfId="0" applyFont="1" applyFill="1" applyBorder="1" applyAlignment="1">
      <alignment vertical="center" wrapText="1"/>
    </xf>
    <xf numFmtId="0" fontId="26" fillId="0" borderId="0" xfId="2" applyFont="1" applyFill="1" applyBorder="1" applyAlignment="1">
      <alignment horizontal="center" vertical="center" wrapText="1"/>
    </xf>
    <xf numFmtId="0" fontId="10" fillId="0" borderId="37" xfId="0" quotePrefix="1" applyFont="1" applyFill="1" applyBorder="1" applyAlignment="1">
      <alignment horizontal="center" vertical="center" wrapText="1"/>
    </xf>
    <xf numFmtId="0" fontId="11" fillId="8" borderId="51" xfId="2" applyBorder="1" applyAlignment="1">
      <alignment horizontal="center" vertical="center" wrapText="1"/>
    </xf>
    <xf numFmtId="0" fontId="10" fillId="0" borderId="37" xfId="0" applyFont="1" applyBorder="1" applyAlignment="1">
      <alignment wrapText="1"/>
    </xf>
    <xf numFmtId="0" fontId="10" fillId="0" borderId="38" xfId="0" applyNumberFormat="1" applyFont="1" applyBorder="1" applyAlignment="1">
      <alignment horizontal="center" vertical="center"/>
    </xf>
    <xf numFmtId="0" fontId="4" fillId="0" borderId="0" xfId="0" applyFont="1" applyFill="1" applyBorder="1" applyAlignment="1">
      <alignment horizontal="center" vertical="center"/>
    </xf>
    <xf numFmtId="0" fontId="4" fillId="0" borderId="1" xfId="2" applyFont="1" applyFill="1" applyBorder="1" applyAlignment="1">
      <alignment horizontal="center" vertical="center" wrapText="1"/>
    </xf>
    <xf numFmtId="0" fontId="4" fillId="0" borderId="24" xfId="2" applyFont="1" applyFill="1" applyBorder="1" applyAlignment="1">
      <alignment horizontal="center" vertical="center" wrapText="1"/>
    </xf>
    <xf numFmtId="0" fontId="4" fillId="0" borderId="28" xfId="2" applyFont="1" applyFill="1" applyBorder="1" applyAlignment="1">
      <alignment horizontal="center" vertical="center" wrapText="1"/>
    </xf>
    <xf numFmtId="0" fontId="4" fillId="0" borderId="0" xfId="2" applyFont="1" applyFill="1" applyBorder="1" applyAlignment="1">
      <alignment horizontal="center" vertical="center" wrapText="1"/>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0" fillId="0" borderId="24" xfId="0" applyBorder="1" applyAlignment="1">
      <alignment horizontal="center" vertical="center"/>
    </xf>
    <xf numFmtId="0" fontId="0" fillId="0" borderId="33" xfId="0" applyBorder="1" applyAlignment="1">
      <alignment horizontal="center" vertical="center"/>
    </xf>
    <xf numFmtId="0" fontId="4" fillId="0" borderId="24" xfId="0" quotePrefix="1" applyFont="1" applyBorder="1" applyAlignment="1">
      <alignment horizontal="center" vertical="center"/>
    </xf>
    <xf numFmtId="0" fontId="4" fillId="0" borderId="24" xfId="0" applyFont="1" applyBorder="1" applyAlignment="1">
      <alignment wrapText="1"/>
    </xf>
    <xf numFmtId="0" fontId="0" fillId="0" borderId="8" xfId="0" applyBorder="1" applyAlignment="1">
      <alignment horizontal="center" vertical="center"/>
    </xf>
    <xf numFmtId="0" fontId="0" fillId="0" borderId="9" xfId="0" applyBorder="1" applyAlignment="1">
      <alignment horizontal="center" vertical="center"/>
    </xf>
    <xf numFmtId="0" fontId="4" fillId="0" borderId="28" xfId="0" quotePrefix="1" applyFont="1" applyBorder="1" applyAlignment="1">
      <alignment horizontal="center" vertical="center"/>
    </xf>
    <xf numFmtId="0" fontId="4" fillId="0" borderId="28" xfId="0" applyFont="1" applyBorder="1" applyAlignment="1">
      <alignment wrapText="1"/>
    </xf>
    <xf numFmtId="0" fontId="4" fillId="0" borderId="33"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10" fillId="0" borderId="24" xfId="0" applyFont="1" applyFill="1" applyBorder="1" applyAlignment="1">
      <alignment horizontal="center" vertical="center"/>
    </xf>
    <xf numFmtId="0" fontId="10" fillId="0" borderId="24" xfId="0" applyFont="1" applyFill="1" applyBorder="1" applyAlignment="1">
      <alignment horizontal="left" vertical="top" wrapText="1"/>
    </xf>
    <xf numFmtId="0" fontId="10" fillId="0" borderId="1" xfId="0" applyFont="1" applyFill="1" applyBorder="1" applyAlignment="1">
      <alignment horizontal="left" vertical="top" wrapText="1"/>
    </xf>
    <xf numFmtId="0" fontId="10" fillId="0" borderId="28" xfId="0" applyFont="1" applyFill="1" applyBorder="1" applyAlignment="1">
      <alignment horizontal="left" vertical="top" wrapText="1"/>
    </xf>
    <xf numFmtId="0" fontId="10" fillId="0" borderId="0" xfId="0" applyFont="1" applyFill="1" applyBorder="1" applyAlignment="1">
      <alignment horizontal="left" vertical="top" wrapText="1"/>
    </xf>
    <xf numFmtId="0" fontId="10" fillId="0" borderId="37" xfId="0" applyFont="1" applyFill="1" applyBorder="1" applyAlignment="1">
      <alignment horizontal="left" vertical="top" wrapText="1"/>
    </xf>
    <xf numFmtId="0" fontId="4" fillId="0" borderId="0" xfId="0" applyFont="1" applyBorder="1" applyAlignment="1">
      <alignment wrapText="1"/>
    </xf>
    <xf numFmtId="0" fontId="0" fillId="0" borderId="36" xfId="0" applyBorder="1" applyAlignment="1">
      <alignment horizontal="center" vertical="center"/>
    </xf>
    <xf numFmtId="0" fontId="4" fillId="0" borderId="37" xfId="0" applyFont="1" applyBorder="1" applyAlignment="1">
      <alignment wrapText="1"/>
    </xf>
    <xf numFmtId="0" fontId="4" fillId="0" borderId="36" xfId="0" applyFont="1" applyBorder="1" applyAlignment="1">
      <alignment horizontal="center" vertical="center"/>
    </xf>
    <xf numFmtId="0" fontId="3" fillId="0" borderId="1" xfId="3" applyFont="1" applyBorder="1" applyAlignment="1">
      <alignment horizontal="left" vertical="top" wrapText="1"/>
    </xf>
    <xf numFmtId="0" fontId="19" fillId="0" borderId="0" xfId="0" applyFont="1" applyAlignment="1">
      <alignment horizontal="left"/>
    </xf>
    <xf numFmtId="0" fontId="19" fillId="0" borderId="0" xfId="0" applyFont="1" applyAlignment="1">
      <alignment horizontal="left" vertical="top"/>
    </xf>
    <xf numFmtId="0" fontId="4" fillId="0" borderId="1" xfId="0" applyFont="1" applyBorder="1" applyAlignment="1">
      <alignment horizontal="left" vertical="center" wrapText="1"/>
    </xf>
    <xf numFmtId="0" fontId="19" fillId="4" borderId="0" xfId="0" applyFont="1" applyFill="1" applyAlignment="1">
      <alignment horizontal="left" vertical="top"/>
    </xf>
    <xf numFmtId="0" fontId="4" fillId="0" borderId="33" xfId="0" applyFont="1" applyFill="1" applyBorder="1"/>
    <xf numFmtId="0" fontId="11" fillId="8" borderId="63" xfId="2" applyBorder="1" applyAlignment="1">
      <alignment horizontal="center" vertical="center"/>
    </xf>
    <xf numFmtId="0" fontId="3" fillId="0" borderId="29" xfId="3" applyFont="1" applyBorder="1" applyAlignment="1">
      <alignment horizontal="left" wrapText="1"/>
    </xf>
    <xf numFmtId="0" fontId="10" fillId="0" borderId="11" xfId="0" quotePrefix="1" applyFont="1" applyFill="1" applyBorder="1" applyAlignment="1">
      <alignment horizontal="center" vertical="center" wrapText="1"/>
    </xf>
    <xf numFmtId="0" fontId="10" fillId="0" borderId="47" xfId="0" applyFont="1" applyBorder="1" applyAlignment="1">
      <alignment horizontal="center" vertical="center"/>
    </xf>
    <xf numFmtId="0" fontId="11" fillId="8" borderId="64" xfId="2" applyBorder="1" applyAlignment="1">
      <alignment horizontal="center" vertical="center" wrapText="1"/>
    </xf>
    <xf numFmtId="0" fontId="10" fillId="0" borderId="2" xfId="1" applyFont="1" applyFill="1" applyBorder="1" applyAlignment="1">
      <alignment horizontal="center" vertical="center" wrapText="1"/>
    </xf>
    <xf numFmtId="0" fontId="23" fillId="6" borderId="0" xfId="0" applyFont="1" applyFill="1" applyAlignment="1">
      <alignment horizontal="left" vertical="center" wrapText="1"/>
    </xf>
    <xf numFmtId="0" fontId="24" fillId="6" borderId="0" xfId="0" applyFont="1" applyFill="1" applyAlignment="1">
      <alignment horizontal="center" vertical="center"/>
    </xf>
    <xf numFmtId="0" fontId="0" fillId="11" borderId="0" xfId="0" applyFill="1"/>
    <xf numFmtId="0" fontId="10" fillId="11" borderId="0" xfId="0" applyFont="1" applyFill="1" applyBorder="1" applyAlignment="1">
      <alignment horizontal="center" vertical="center" wrapText="1"/>
    </xf>
    <xf numFmtId="0" fontId="10" fillId="11" borderId="0" xfId="0" quotePrefix="1" applyFont="1" applyFill="1" applyBorder="1" applyAlignment="1">
      <alignment horizontal="center" vertical="center" wrapText="1"/>
    </xf>
    <xf numFmtId="0" fontId="10" fillId="11" borderId="0" xfId="1" applyFont="1" applyFill="1" applyBorder="1" applyAlignment="1">
      <alignment horizontal="center" vertical="center" wrapText="1"/>
    </xf>
    <xf numFmtId="0" fontId="10" fillId="11" borderId="0" xfId="0" applyFont="1" applyFill="1" applyBorder="1" applyAlignment="1">
      <alignment horizontal="center" vertical="center"/>
    </xf>
    <xf numFmtId="0" fontId="10" fillId="11" borderId="0" xfId="0" applyFont="1" applyFill="1" applyBorder="1" applyAlignment="1">
      <alignment wrapText="1"/>
    </xf>
    <xf numFmtId="0" fontId="4" fillId="11" borderId="0" xfId="0" applyFont="1" applyFill="1" applyBorder="1" applyAlignment="1">
      <alignment horizontal="center" vertical="center"/>
    </xf>
    <xf numFmtId="0" fontId="0" fillId="11" borderId="0" xfId="0" applyFill="1" applyBorder="1" applyAlignment="1">
      <alignment horizontal="center" vertical="center"/>
    </xf>
    <xf numFmtId="0" fontId="15" fillId="10" borderId="24" xfId="0"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2" xfId="0" applyFont="1" applyBorder="1" applyAlignment="1">
      <alignment vertical="center" wrapText="1"/>
    </xf>
    <xf numFmtId="0" fontId="4" fillId="0" borderId="28" xfId="0" applyFont="1" applyBorder="1" applyAlignment="1">
      <alignment horizontal="left" vertical="center" wrapText="1"/>
    </xf>
    <xf numFmtId="0" fontId="11" fillId="8" borderId="46" xfId="2"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0" fillId="0" borderId="1" xfId="0" applyFont="1" applyBorder="1" applyAlignment="1">
      <alignment horizontal="center" vertical="center"/>
    </xf>
    <xf numFmtId="0" fontId="4" fillId="0" borderId="28" xfId="0" applyFont="1" applyFill="1" applyBorder="1" applyAlignment="1">
      <alignment horizontal="center" vertical="center"/>
    </xf>
    <xf numFmtId="0" fontId="0" fillId="0" borderId="24" xfId="0" applyFill="1" applyBorder="1" applyAlignment="1">
      <alignment horizontal="center" vertical="center"/>
    </xf>
    <xf numFmtId="0" fontId="0" fillId="0" borderId="28" xfId="0" applyFill="1" applyBorder="1" applyAlignment="1">
      <alignment horizontal="center" vertical="center"/>
    </xf>
    <xf numFmtId="0" fontId="11" fillId="8" borderId="2" xfId="2" applyBorder="1" applyAlignment="1">
      <alignment horizontal="center" vertical="center" wrapText="1"/>
    </xf>
    <xf numFmtId="0" fontId="4" fillId="0" borderId="1" xfId="0" applyFont="1" applyFill="1" applyBorder="1" applyAlignment="1">
      <alignment horizontal="center" vertical="center"/>
    </xf>
    <xf numFmtId="0" fontId="10" fillId="0" borderId="2" xfId="0" applyFont="1" applyBorder="1" applyAlignment="1">
      <alignment horizontal="center" vertical="center"/>
    </xf>
    <xf numFmtId="0" fontId="10" fillId="6" borderId="0" xfId="0" applyFont="1" applyFill="1" applyBorder="1" applyAlignment="1">
      <alignment horizontal="center" vertical="center" wrapText="1"/>
    </xf>
    <xf numFmtId="0" fontId="10" fillId="6" borderId="0" xfId="0" applyFont="1" applyFill="1" applyBorder="1" applyAlignment="1">
      <alignment vertical="center" wrapText="1"/>
    </xf>
    <xf numFmtId="0" fontId="11" fillId="8" borderId="35" xfId="2" applyBorder="1" applyAlignment="1">
      <alignment horizontal="center" vertical="center"/>
    </xf>
    <xf numFmtId="0" fontId="11" fillId="8" borderId="22" xfId="2" applyBorder="1" applyAlignment="1">
      <alignment horizontal="center" vertical="center"/>
    </xf>
    <xf numFmtId="0" fontId="0" fillId="6" borderId="0" xfId="0" applyFill="1" applyBorder="1" applyAlignment="1">
      <alignment horizontal="left" vertical="center" wrapText="1"/>
    </xf>
    <xf numFmtId="0" fontId="0" fillId="6" borderId="1" xfId="0" applyFill="1" applyBorder="1" applyAlignment="1">
      <alignment horizontal="center" vertical="center"/>
    </xf>
    <xf numFmtId="0" fontId="4" fillId="0" borderId="13" xfId="0" applyFont="1" applyFill="1" applyBorder="1" applyAlignment="1">
      <alignment horizontal="center" vertical="center"/>
    </xf>
    <xf numFmtId="0" fontId="10" fillId="6" borderId="0" xfId="0" applyFont="1" applyFill="1" applyBorder="1" applyAlignment="1">
      <alignment horizontal="center" vertical="center"/>
    </xf>
    <xf numFmtId="0" fontId="0" fillId="0" borderId="1" xfId="0" applyFill="1" applyBorder="1" applyAlignment="1">
      <alignment horizontal="center" vertical="center"/>
    </xf>
    <xf numFmtId="0" fontId="4" fillId="0" borderId="1" xfId="0" applyFont="1" applyBorder="1" applyAlignment="1">
      <alignment horizontal="left" vertical="center" wrapText="1"/>
    </xf>
    <xf numFmtId="0" fontId="18" fillId="0" borderId="0" xfId="2" quotePrefix="1" applyFont="1" applyFill="1" applyBorder="1" applyAlignment="1">
      <alignment horizontal="center" vertical="center" wrapText="1"/>
    </xf>
    <xf numFmtId="0" fontId="27" fillId="6" borderId="0" xfId="0" applyFont="1" applyFill="1" applyBorder="1" applyAlignment="1">
      <alignment horizontal="center"/>
    </xf>
    <xf numFmtId="0" fontId="11" fillId="8" borderId="22" xfId="2" applyAlignment="1">
      <alignment horizontal="center"/>
    </xf>
    <xf numFmtId="0" fontId="0" fillId="0" borderId="0" xfId="0" applyFill="1" applyBorder="1" applyAlignment="1">
      <alignment horizontal="left" vertical="center" wrapText="1"/>
    </xf>
    <xf numFmtId="0" fontId="0" fillId="7" borderId="28" xfId="0" applyFill="1" applyBorder="1" applyAlignment="1">
      <alignment horizontal="center" vertical="center"/>
    </xf>
    <xf numFmtId="0" fontId="22" fillId="11" borderId="0" xfId="0" applyFont="1" applyFill="1"/>
    <xf numFmtId="0" fontId="11" fillId="8" borderId="22" xfId="2" quotePrefix="1" applyAlignment="1">
      <alignment horizontal="center" vertical="center"/>
    </xf>
    <xf numFmtId="0" fontId="10" fillId="6" borderId="0" xfId="0" applyNumberFormat="1" applyFont="1" applyFill="1" applyBorder="1" applyAlignment="1">
      <alignment horizontal="center" vertical="center"/>
    </xf>
    <xf numFmtId="0" fontId="10" fillId="0" borderId="2" xfId="0" applyFont="1" applyBorder="1" applyAlignment="1">
      <alignment wrapText="1"/>
    </xf>
    <xf numFmtId="0" fontId="10" fillId="0" borderId="25" xfId="0" applyFont="1" applyBorder="1" applyAlignment="1">
      <alignment wrapText="1"/>
    </xf>
    <xf numFmtId="0" fontId="10" fillId="0" borderId="26" xfId="0" applyFont="1" applyBorder="1" applyAlignment="1">
      <alignment wrapText="1"/>
    </xf>
    <xf numFmtId="0" fontId="10" fillId="0" borderId="29" xfId="0" applyFont="1" applyBorder="1" applyAlignment="1">
      <alignment wrapText="1"/>
    </xf>
    <xf numFmtId="0" fontId="10" fillId="0" borderId="20" xfId="0" applyFont="1" applyBorder="1" applyAlignment="1">
      <alignment wrapText="1"/>
    </xf>
    <xf numFmtId="0" fontId="0" fillId="11" borderId="0" xfId="0" applyFill="1" applyBorder="1"/>
    <xf numFmtId="0" fontId="4" fillId="7" borderId="1" xfId="0" applyFont="1" applyFill="1" applyBorder="1" applyAlignment="1">
      <alignment horizontal="center" vertical="center"/>
    </xf>
    <xf numFmtId="0" fontId="4" fillId="6" borderId="0" xfId="0" applyFont="1" applyFill="1" applyBorder="1" applyAlignment="1">
      <alignment horizontal="center" vertical="center"/>
    </xf>
    <xf numFmtId="0" fontId="4" fillId="6" borderId="0" xfId="0" applyFont="1" applyFill="1" applyBorder="1" applyAlignment="1">
      <alignment horizontal="left" vertical="center" wrapText="1"/>
    </xf>
    <xf numFmtId="0" fontId="4" fillId="0" borderId="0" xfId="0" applyFont="1" applyAlignment="1">
      <alignment horizontal="center"/>
    </xf>
    <xf numFmtId="0" fontId="4" fillId="6" borderId="0" xfId="0" applyFont="1" applyFill="1" applyBorder="1" applyAlignment="1">
      <alignment horizontal="left" vertical="center"/>
    </xf>
    <xf numFmtId="0" fontId="11" fillId="6" borderId="0" xfId="2" applyFill="1" applyBorder="1" applyAlignment="1">
      <alignment horizontal="center"/>
    </xf>
    <xf numFmtId="0" fontId="11" fillId="8" borderId="1" xfId="2" applyBorder="1" applyAlignment="1">
      <alignment horizontal="center"/>
    </xf>
    <xf numFmtId="0" fontId="4" fillId="0" borderId="0" xfId="0" applyFont="1" applyAlignment="1">
      <alignment horizontal="center" vertical="center"/>
    </xf>
    <xf numFmtId="0" fontId="0" fillId="6" borderId="1" xfId="0" applyFill="1" applyBorder="1" applyAlignment="1">
      <alignment horizontal="center" vertical="center"/>
    </xf>
    <xf numFmtId="0" fontId="19" fillId="0" borderId="0" xfId="0" applyFont="1" applyAlignment="1">
      <alignment vertical="top"/>
    </xf>
    <xf numFmtId="0" fontId="19" fillId="4" borderId="0" xfId="0" applyFont="1" applyFill="1" applyAlignment="1">
      <alignment vertical="top"/>
    </xf>
    <xf numFmtId="0" fontId="19" fillId="0" borderId="0" xfId="0" applyFont="1" applyFill="1" applyAlignment="1">
      <alignment vertical="top"/>
    </xf>
    <xf numFmtId="0" fontId="13" fillId="0" borderId="0" xfId="0" applyFont="1" applyBorder="1" applyAlignment="1">
      <alignment wrapText="1"/>
    </xf>
    <xf numFmtId="0" fontId="3" fillId="6" borderId="1" xfId="0" applyFont="1" applyFill="1" applyBorder="1" applyAlignment="1">
      <alignment horizontal="center" vertical="center" wrapText="1"/>
    </xf>
    <xf numFmtId="0" fontId="4" fillId="0" borderId="0" xfId="0" applyFont="1" applyBorder="1" applyAlignment="1">
      <alignment vertical="top" wrapText="1"/>
    </xf>
    <xf numFmtId="0" fontId="16" fillId="6" borderId="0" xfId="0" applyFont="1" applyFill="1" applyBorder="1" applyAlignment="1">
      <alignment vertical="top" wrapText="1"/>
    </xf>
    <xf numFmtId="0" fontId="4" fillId="0" borderId="0" xfId="0" applyFont="1" applyBorder="1" applyAlignment="1">
      <alignment vertical="center"/>
    </xf>
    <xf numFmtId="0" fontId="4" fillId="0" borderId="0" xfId="0" applyFont="1" applyBorder="1" applyAlignment="1">
      <alignment vertical="center" wrapText="1"/>
    </xf>
    <xf numFmtId="0" fontId="0" fillId="0" borderId="0" xfId="0" applyBorder="1" applyAlignment="1">
      <alignment horizontal="left" vertical="center"/>
    </xf>
    <xf numFmtId="0" fontId="4" fillId="7" borderId="11" xfId="0" applyFont="1" applyFill="1" applyBorder="1" applyAlignment="1">
      <alignment horizontal="center" vertical="center"/>
    </xf>
    <xf numFmtId="0" fontId="10" fillId="6" borderId="1" xfId="1" applyFont="1" applyFill="1" applyBorder="1" applyAlignment="1">
      <alignment horizontal="center" vertical="center" wrapText="1"/>
    </xf>
    <xf numFmtId="0" fontId="18" fillId="6" borderId="1" xfId="1" applyFont="1" applyFill="1" applyBorder="1" applyAlignment="1">
      <alignment horizontal="center" vertical="center" wrapText="1"/>
    </xf>
    <xf numFmtId="0" fontId="4" fillId="0" borderId="1" xfId="0" applyFont="1" applyBorder="1" applyAlignment="1">
      <alignment vertical="top" wrapText="1"/>
    </xf>
    <xf numFmtId="0" fontId="3" fillId="0" borderId="1" xfId="0" applyFont="1" applyBorder="1" applyAlignment="1">
      <alignment horizontal="left" vertical="top"/>
    </xf>
    <xf numFmtId="0" fontId="0" fillId="0" borderId="0" xfId="0" applyAlignment="1">
      <alignment horizontal="left" vertical="top"/>
    </xf>
    <xf numFmtId="0" fontId="0" fillId="7" borderId="1" xfId="0" applyFill="1" applyBorder="1" applyAlignment="1">
      <alignment horizontal="center" vertical="center"/>
    </xf>
    <xf numFmtId="0" fontId="4" fillId="0" borderId="1" xfId="0" applyFont="1" applyBorder="1" applyAlignment="1">
      <alignment vertical="center"/>
    </xf>
    <xf numFmtId="0" fontId="3" fillId="0" borderId="2" xfId="0" applyFont="1" applyBorder="1" applyAlignment="1">
      <alignment horizontal="left" vertical="top" wrapText="1"/>
    </xf>
    <xf numFmtId="0" fontId="16" fillId="5" borderId="11" xfId="2" applyFont="1" applyFill="1" applyBorder="1" applyAlignment="1">
      <alignment horizontal="center" vertical="center"/>
    </xf>
    <xf numFmtId="0" fontId="4" fillId="6" borderId="0" xfId="0" quotePrefix="1" applyFont="1" applyFill="1" applyAlignment="1">
      <alignment wrapText="1"/>
    </xf>
    <xf numFmtId="0" fontId="19" fillId="0" borderId="0" xfId="0" applyFont="1" applyBorder="1"/>
    <xf numFmtId="0" fontId="19" fillId="0" borderId="0" xfId="0" applyFont="1" applyBorder="1" applyAlignment="1">
      <alignment horizontal="left" vertical="center"/>
    </xf>
    <xf numFmtId="0" fontId="19" fillId="0" borderId="0" xfId="0" applyFont="1" applyBorder="1" applyAlignment="1">
      <alignment horizontal="center" vertical="center"/>
    </xf>
    <xf numFmtId="0" fontId="0" fillId="0" borderId="0" xfId="0" applyBorder="1"/>
    <xf numFmtId="0" fontId="19" fillId="0" borderId="0" xfId="0" applyFont="1" applyFill="1" applyBorder="1" applyAlignment="1">
      <alignment horizontal="left" vertical="center"/>
    </xf>
    <xf numFmtId="0" fontId="19" fillId="4" borderId="0" xfId="0" applyFont="1" applyFill="1" applyBorder="1" applyAlignment="1">
      <alignment horizontal="left" vertical="center"/>
    </xf>
    <xf numFmtId="0" fontId="0" fillId="6" borderId="1" xfId="0" applyFill="1" applyBorder="1" applyAlignment="1">
      <alignment horizontal="center" vertical="center"/>
    </xf>
    <xf numFmtId="0" fontId="19" fillId="4" borderId="0" xfId="0" applyFont="1" applyFill="1" applyAlignment="1">
      <alignment horizontal="left" vertical="center"/>
    </xf>
    <xf numFmtId="0" fontId="19" fillId="0" borderId="0" xfId="0" applyFont="1" applyAlignment="1">
      <alignment horizontal="center"/>
    </xf>
    <xf numFmtId="0" fontId="19" fillId="0" borderId="0" xfId="0" applyFont="1" applyFill="1" applyAlignment="1">
      <alignment horizontal="left" vertical="center"/>
    </xf>
    <xf numFmtId="0" fontId="3" fillId="6" borderId="1" xfId="0" applyFont="1" applyFill="1" applyBorder="1" applyAlignment="1">
      <alignment horizontal="left" vertical="top" wrapText="1"/>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8" fillId="6" borderId="1" xfId="2" applyFont="1" applyFill="1" applyBorder="1" applyAlignment="1">
      <alignment horizontal="center" vertical="center" wrapText="1"/>
    </xf>
    <xf numFmtId="0" fontId="18" fillId="6" borderId="0" xfId="0" applyFont="1" applyFill="1" applyAlignment="1">
      <alignment wrapText="1"/>
    </xf>
    <xf numFmtId="0" fontId="19" fillId="6" borderId="0" xfId="0" applyFont="1" applyFill="1"/>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10" fillId="0" borderId="24" xfId="0" applyFont="1" applyBorder="1" applyAlignment="1">
      <alignment horizontal="center" vertical="center"/>
    </xf>
    <xf numFmtId="0" fontId="10" fillId="0" borderId="1" xfId="0" applyFont="1" applyBorder="1" applyAlignment="1">
      <alignment horizontal="center" vertical="center"/>
    </xf>
    <xf numFmtId="0" fontId="10" fillId="0" borderId="28" xfId="0" applyFont="1" applyBorder="1" applyAlignment="1">
      <alignment horizontal="center" vertical="center"/>
    </xf>
    <xf numFmtId="0" fontId="4" fillId="0" borderId="1" xfId="0" applyFont="1" applyBorder="1" applyAlignment="1">
      <alignment horizontal="left" vertical="center" wrapText="1"/>
    </xf>
    <xf numFmtId="0" fontId="3" fillId="0" borderId="10" xfId="0" applyFont="1" applyBorder="1"/>
    <xf numFmtId="0" fontId="4" fillId="0" borderId="10" xfId="0" applyFont="1" applyBorder="1"/>
    <xf numFmtId="0" fontId="4" fillId="0" borderId="2" xfId="0" applyFont="1" applyBorder="1"/>
    <xf numFmtId="0" fontId="8" fillId="3" borderId="22" xfId="1" applyAlignment="1">
      <alignment horizontal="center" vertical="center"/>
    </xf>
    <xf numFmtId="0" fontId="4" fillId="0" borderId="32" xfId="0" applyFont="1" applyFill="1" applyBorder="1"/>
    <xf numFmtId="0" fontId="4" fillId="0" borderId="6" xfId="0" applyFont="1" applyFill="1" applyBorder="1"/>
    <xf numFmtId="0" fontId="18" fillId="0" borderId="22" xfId="2" applyFont="1" applyFill="1" applyBorder="1" applyAlignment="1">
      <alignment horizontal="center" vertical="center" wrapText="1"/>
    </xf>
    <xf numFmtId="0" fontId="19" fillId="0" borderId="0" xfId="0" applyFont="1" applyAlignment="1">
      <alignment horizontal="center" vertical="top"/>
    </xf>
    <xf numFmtId="0" fontId="0" fillId="0" borderId="0" xfId="0" applyAlignment="1">
      <alignment wrapText="1"/>
    </xf>
    <xf numFmtId="0" fontId="4" fillId="6" borderId="0" xfId="0" applyFont="1" applyFill="1" applyAlignment="1">
      <alignment horizontal="left" vertical="center"/>
    </xf>
    <xf numFmtId="0" fontId="4" fillId="6" borderId="0" xfId="0" applyFont="1" applyFill="1" applyAlignment="1">
      <alignment horizontal="left" vertical="center" wrapText="1"/>
    </xf>
    <xf numFmtId="0" fontId="3" fillId="6" borderId="0" xfId="0" applyFont="1" applyFill="1"/>
    <xf numFmtId="0" fontId="0" fillId="5" borderId="1" xfId="0" applyFill="1" applyBorder="1"/>
    <xf numFmtId="0" fontId="4" fillId="6" borderId="0" xfId="0" applyFont="1" applyFill="1" applyAlignment="1">
      <alignment horizontal="left"/>
    </xf>
    <xf numFmtId="0" fontId="0" fillId="11" borderId="6" xfId="0" applyFill="1" applyBorder="1" applyAlignment="1">
      <alignment wrapText="1"/>
    </xf>
    <xf numFmtId="0" fontId="0" fillId="11" borderId="7" xfId="0" applyFill="1" applyBorder="1" applyAlignment="1">
      <alignment wrapText="1"/>
    </xf>
    <xf numFmtId="0" fontId="0" fillId="11" borderId="0" xfId="0" applyFill="1" applyAlignment="1">
      <alignment wrapText="1"/>
    </xf>
    <xf numFmtId="0" fontId="0" fillId="11" borderId="15" xfId="0" applyFill="1" applyBorder="1" applyAlignment="1">
      <alignment wrapText="1"/>
    </xf>
    <xf numFmtId="0" fontId="0" fillId="6" borderId="14" xfId="0" applyFill="1" applyBorder="1"/>
    <xf numFmtId="0" fontId="31" fillId="6" borderId="20" xfId="0" applyFont="1" applyFill="1" applyBorder="1" applyAlignment="1">
      <alignment horizontal="center" vertical="center" wrapText="1"/>
    </xf>
    <xf numFmtId="0" fontId="0" fillId="6" borderId="16" xfId="0" applyFill="1" applyBorder="1"/>
    <xf numFmtId="0" fontId="0" fillId="6" borderId="17" xfId="0" applyFill="1" applyBorder="1"/>
    <xf numFmtId="0" fontId="29" fillId="5" borderId="29" xfId="0" applyFont="1" applyFill="1" applyBorder="1" applyAlignment="1">
      <alignment horizontal="center"/>
    </xf>
    <xf numFmtId="0" fontId="3" fillId="0" borderId="43" xfId="0" applyFont="1" applyBorder="1" applyAlignment="1">
      <alignment horizontal="center" vertical="center" wrapText="1"/>
    </xf>
    <xf numFmtId="0" fontId="3" fillId="0" borderId="23" xfId="0" applyFont="1" applyBorder="1" applyAlignment="1">
      <alignment horizontal="left" vertical="center" wrapText="1"/>
    </xf>
    <xf numFmtId="0" fontId="3" fillId="0" borderId="31" xfId="0" applyFont="1" applyBorder="1" applyAlignment="1">
      <alignment horizontal="left" vertical="center" wrapText="1"/>
    </xf>
    <xf numFmtId="0" fontId="4" fillId="0" borderId="33" xfId="0" applyFont="1" applyBorder="1" applyAlignment="1">
      <alignment horizontal="center" wrapText="1"/>
    </xf>
    <xf numFmtId="0" fontId="34" fillId="0" borderId="25" xfId="0" applyFont="1" applyBorder="1" applyAlignment="1">
      <alignment horizontal="center" vertical="center" wrapText="1"/>
    </xf>
    <xf numFmtId="0" fontId="4" fillId="0" borderId="8" xfId="0" applyFont="1" applyBorder="1" applyAlignment="1">
      <alignment horizontal="center" wrapText="1"/>
    </xf>
    <xf numFmtId="0" fontId="34" fillId="0" borderId="20" xfId="0" applyFont="1" applyBorder="1" applyAlignment="1">
      <alignment horizontal="center" vertical="center" wrapText="1"/>
    </xf>
    <xf numFmtId="0" fontId="4" fillId="0" borderId="27" xfId="0" applyFont="1" applyBorder="1" applyAlignment="1">
      <alignment horizontal="center" wrapText="1"/>
    </xf>
    <xf numFmtId="0" fontId="4" fillId="0" borderId="9" xfId="0" applyFont="1" applyBorder="1" applyAlignment="1">
      <alignment horizontal="center" wrapText="1"/>
    </xf>
    <xf numFmtId="0" fontId="11" fillId="8" borderId="28" xfId="2" applyBorder="1" applyAlignment="1">
      <alignment horizontal="center" wrapText="1"/>
    </xf>
    <xf numFmtId="0" fontId="34" fillId="0" borderId="29" xfId="0" applyFont="1" applyBorder="1" applyAlignment="1">
      <alignment horizontal="center" wrapText="1"/>
    </xf>
    <xf numFmtId="0" fontId="35" fillId="0" borderId="0" xfId="0" applyFont="1"/>
    <xf numFmtId="0" fontId="3" fillId="0" borderId="23" xfId="0" applyFont="1" applyBorder="1" applyAlignment="1">
      <alignment horizontal="center" vertical="center" wrapText="1"/>
    </xf>
    <xf numFmtId="0" fontId="31" fillId="6" borderId="7" xfId="0" applyFont="1" applyFill="1" applyBorder="1" applyAlignment="1">
      <alignment horizontal="center" wrapText="1"/>
    </xf>
    <xf numFmtId="0" fontId="11" fillId="8" borderId="24" xfId="2" applyBorder="1" applyAlignment="1">
      <alignment horizontal="center" wrapText="1"/>
    </xf>
    <xf numFmtId="0" fontId="29" fillId="5" borderId="25" xfId="0" applyFont="1" applyFill="1" applyBorder="1" applyAlignment="1">
      <alignment horizontal="center" wrapText="1"/>
    </xf>
    <xf numFmtId="0" fontId="35" fillId="11" borderId="15" xfId="0" applyFont="1" applyFill="1" applyBorder="1"/>
    <xf numFmtId="0" fontId="11" fillId="8" borderId="1" xfId="2" applyBorder="1" applyAlignment="1">
      <alignment horizontal="center" wrapText="1"/>
    </xf>
    <xf numFmtId="0" fontId="29" fillId="5" borderId="26" xfId="0" applyFont="1" applyFill="1" applyBorder="1" applyAlignment="1">
      <alignment horizontal="center" wrapText="1"/>
    </xf>
    <xf numFmtId="0" fontId="11" fillId="8" borderId="28" xfId="2" applyBorder="1" applyAlignment="1">
      <alignment horizontal="center" vertical="center"/>
    </xf>
    <xf numFmtId="0" fontId="29" fillId="5" borderId="29" xfId="0" applyFont="1" applyFill="1" applyBorder="1" applyAlignment="1">
      <alignment horizontal="center" wrapText="1"/>
    </xf>
    <xf numFmtId="0" fontId="3" fillId="11" borderId="14" xfId="0" applyFont="1" applyFill="1" applyBorder="1" applyAlignment="1">
      <alignment horizontal="center"/>
    </xf>
    <xf numFmtId="0" fontId="0" fillId="11" borderId="0" xfId="0" applyFill="1" applyAlignment="1">
      <alignment horizontal="center"/>
    </xf>
    <xf numFmtId="0" fontId="4" fillId="11" borderId="16" xfId="0" applyFont="1" applyFill="1" applyBorder="1"/>
    <xf numFmtId="0" fontId="0" fillId="11" borderId="17" xfId="0" applyFill="1" applyBorder="1"/>
    <xf numFmtId="0" fontId="0" fillId="11" borderId="17" xfId="0" applyFill="1" applyBorder="1" applyAlignment="1">
      <alignment wrapText="1"/>
    </xf>
    <xf numFmtId="0" fontId="0" fillId="11" borderId="18" xfId="0" applyFill="1" applyBorder="1" applyAlignment="1">
      <alignment wrapText="1"/>
    </xf>
    <xf numFmtId="0" fontId="35" fillId="12" borderId="14" xfId="0" applyFont="1" applyFill="1" applyBorder="1"/>
    <xf numFmtId="0" fontId="35" fillId="12" borderId="67" xfId="0" applyFont="1" applyFill="1" applyBorder="1" applyAlignment="1">
      <alignment horizontal="center"/>
    </xf>
    <xf numFmtId="0" fontId="35" fillId="12" borderId="2" xfId="0" applyFont="1" applyFill="1" applyBorder="1" applyAlignment="1">
      <alignment horizontal="center"/>
    </xf>
    <xf numFmtId="0" fontId="35" fillId="12" borderId="15" xfId="0" applyFont="1" applyFill="1" applyBorder="1" applyAlignment="1">
      <alignment horizontal="center"/>
    </xf>
    <xf numFmtId="0" fontId="35" fillId="12" borderId="8" xfId="0" applyFont="1" applyFill="1" applyBorder="1" applyAlignment="1">
      <alignment wrapText="1"/>
    </xf>
    <xf numFmtId="0" fontId="37" fillId="12" borderId="68" xfId="2" applyFont="1" applyFill="1" applyBorder="1" applyAlignment="1">
      <alignment horizontal="center"/>
    </xf>
    <xf numFmtId="0" fontId="37" fillId="12" borderId="53" xfId="2" applyFont="1" applyFill="1" applyBorder="1" applyAlignment="1">
      <alignment horizontal="center"/>
    </xf>
    <xf numFmtId="0" fontId="37" fillId="12" borderId="39" xfId="2" applyFont="1" applyFill="1" applyBorder="1" applyAlignment="1">
      <alignment horizontal="center"/>
    </xf>
    <xf numFmtId="0" fontId="37" fillId="12" borderId="22" xfId="2" applyFont="1" applyFill="1" applyAlignment="1">
      <alignment horizontal="center"/>
    </xf>
    <xf numFmtId="0" fontId="35" fillId="12" borderId="8" xfId="0" applyFont="1" applyFill="1" applyBorder="1" applyAlignment="1">
      <alignment horizontal="left" wrapText="1"/>
    </xf>
    <xf numFmtId="0" fontId="4" fillId="0" borderId="0" xfId="0" applyFont="1" applyAlignment="1">
      <alignment horizontal="center" wrapText="1"/>
    </xf>
    <xf numFmtId="0" fontId="35" fillId="12" borderId="9" xfId="0" applyFont="1" applyFill="1" applyBorder="1" applyAlignment="1">
      <alignment wrapText="1"/>
    </xf>
    <xf numFmtId="0" fontId="37" fillId="12" borderId="69" xfId="2" applyFont="1" applyFill="1" applyBorder="1" applyAlignment="1">
      <alignment horizontal="center"/>
    </xf>
    <xf numFmtId="0" fontId="37" fillId="12" borderId="35" xfId="2" applyFont="1" applyFill="1" applyBorder="1" applyAlignment="1">
      <alignment horizontal="center"/>
    </xf>
    <xf numFmtId="0" fontId="37" fillId="12" borderId="40" xfId="2" applyFont="1" applyFill="1" applyBorder="1" applyAlignment="1">
      <alignment horizontal="center"/>
    </xf>
    <xf numFmtId="0" fontId="0" fillId="0" borderId="0" xfId="0" applyAlignment="1">
      <alignment horizontal="center" wrapText="1"/>
    </xf>
    <xf numFmtId="0" fontId="35" fillId="12" borderId="33" xfId="0" applyFont="1" applyFill="1" applyBorder="1" applyAlignment="1">
      <alignment wrapText="1"/>
    </xf>
    <xf numFmtId="0" fontId="35" fillId="12" borderId="24" xfId="0" applyFont="1" applyFill="1" applyBorder="1" applyAlignment="1">
      <alignment horizontal="center"/>
    </xf>
    <xf numFmtId="0" fontId="35" fillId="12" borderId="25" xfId="0" applyFont="1" applyFill="1" applyBorder="1" applyAlignment="1">
      <alignment horizontal="center"/>
    </xf>
    <xf numFmtId="0" fontId="37" fillId="12" borderId="35" xfId="2" applyFont="1" applyFill="1" applyBorder="1" applyAlignment="1">
      <alignment horizontal="center" vertical="center"/>
    </xf>
    <xf numFmtId="0" fontId="37" fillId="12" borderId="40" xfId="2" applyFont="1" applyFill="1" applyBorder="1" applyAlignment="1">
      <alignment horizontal="center" vertical="center"/>
    </xf>
    <xf numFmtId="0" fontId="35" fillId="12" borderId="1" xfId="0" applyFont="1" applyFill="1" applyBorder="1" applyAlignment="1">
      <alignment wrapText="1"/>
    </xf>
    <xf numFmtId="0" fontId="37" fillId="12" borderId="1" xfId="2" applyFont="1" applyFill="1" applyBorder="1" applyAlignment="1">
      <alignment horizontal="center"/>
    </xf>
    <xf numFmtId="0" fontId="37" fillId="12" borderId="1" xfId="2" applyFont="1" applyFill="1" applyBorder="1" applyAlignment="1">
      <alignment horizontal="center" vertical="center"/>
    </xf>
    <xf numFmtId="0" fontId="2" fillId="12" borderId="8" xfId="0" applyFont="1" applyFill="1" applyBorder="1" applyAlignment="1">
      <alignment horizontal="right" wrapText="1"/>
    </xf>
    <xf numFmtId="0" fontId="0" fillId="12" borderId="26" xfId="0" applyFill="1" applyBorder="1"/>
    <xf numFmtId="0" fontId="0" fillId="12" borderId="14" xfId="0" applyFill="1" applyBorder="1"/>
    <xf numFmtId="0" fontId="0" fillId="12" borderId="0" xfId="0" applyFill="1"/>
    <xf numFmtId="0" fontId="0" fillId="12" borderId="15" xfId="0" applyFill="1" applyBorder="1"/>
    <xf numFmtId="0" fontId="0" fillId="12" borderId="26" xfId="0" applyFill="1" applyBorder="1" applyAlignment="1">
      <alignment horizontal="center"/>
    </xf>
    <xf numFmtId="0" fontId="2" fillId="12" borderId="8" xfId="0" applyFont="1" applyFill="1" applyBorder="1" applyAlignment="1">
      <alignment horizontal="right"/>
    </xf>
    <xf numFmtId="0" fontId="37" fillId="12" borderId="26" xfId="2" applyFont="1" applyFill="1" applyBorder="1" applyAlignment="1">
      <alignment horizontal="center"/>
    </xf>
    <xf numFmtId="0" fontId="2" fillId="12" borderId="9" xfId="0" applyFont="1" applyFill="1" applyBorder="1" applyAlignment="1">
      <alignment horizontal="right"/>
    </xf>
    <xf numFmtId="0" fontId="37" fillId="12" borderId="28" xfId="2" applyFont="1" applyFill="1" applyBorder="1" applyAlignment="1">
      <alignment horizontal="center" vertical="center"/>
    </xf>
    <xf numFmtId="0" fontId="37" fillId="12" borderId="29" xfId="2" applyFont="1" applyFill="1" applyBorder="1" applyAlignment="1">
      <alignment horizontal="center"/>
    </xf>
    <xf numFmtId="0" fontId="3" fillId="0" borderId="4" xfId="0" applyFont="1" applyBorder="1"/>
    <xf numFmtId="0" fontId="3" fillId="5" borderId="3" xfId="0" applyFont="1" applyFill="1" applyBorder="1" applyAlignment="1">
      <alignment horizontal="center" vertical="top" wrapText="1"/>
    </xf>
    <xf numFmtId="0" fontId="38" fillId="0" borderId="33" xfId="0" applyFont="1" applyBorder="1" applyAlignment="1">
      <alignment vertical="center" wrapText="1"/>
    </xf>
    <xf numFmtId="0" fontId="0" fillId="4" borderId="6" xfId="0" applyFill="1" applyBorder="1" applyAlignment="1">
      <alignment horizontal="center" vertical="center"/>
    </xf>
    <xf numFmtId="0" fontId="38" fillId="0" borderId="61" xfId="0" applyFont="1" applyBorder="1" applyAlignment="1">
      <alignment vertical="center" wrapText="1"/>
    </xf>
    <xf numFmtId="0" fontId="0" fillId="4" borderId="1" xfId="0" applyFill="1" applyBorder="1" applyAlignment="1">
      <alignment horizontal="center" vertical="center"/>
    </xf>
    <xf numFmtId="0" fontId="4" fillId="0" borderId="11" xfId="3" applyBorder="1" applyAlignment="1">
      <alignment horizontal="left" wrapText="1"/>
    </xf>
    <xf numFmtId="0" fontId="4" fillId="0" borderId="1" xfId="3" applyBorder="1" applyAlignment="1">
      <alignment horizontal="center" vertical="center"/>
    </xf>
    <xf numFmtId="0" fontId="15" fillId="10" borderId="1" xfId="3" applyFont="1" applyFill="1" applyBorder="1" applyAlignment="1">
      <alignment horizontal="center" vertical="center"/>
    </xf>
    <xf numFmtId="0" fontId="4" fillId="0" borderId="32" xfId="0" applyFont="1" applyBorder="1" applyAlignment="1">
      <alignment horizontal="left" vertical="center" wrapText="1"/>
    </xf>
    <xf numFmtId="0" fontId="4" fillId="0" borderId="10" xfId="0" quotePrefix="1" applyFont="1" applyBorder="1" applyAlignment="1">
      <alignment horizontal="center" vertical="center" wrapText="1"/>
    </xf>
    <xf numFmtId="0" fontId="0" fillId="6" borderId="15" xfId="0" applyFill="1" applyBorder="1"/>
    <xf numFmtId="0" fontId="4" fillId="0" borderId="2" xfId="3" applyBorder="1" applyAlignment="1">
      <alignment horizontal="center" vertical="center"/>
    </xf>
    <xf numFmtId="0" fontId="4" fillId="0" borderId="73" xfId="3" applyBorder="1" applyAlignment="1">
      <alignment horizontal="left" vertical="center" wrapText="1"/>
    </xf>
    <xf numFmtId="0" fontId="11" fillId="8" borderId="74" xfId="2" applyBorder="1" applyAlignment="1">
      <alignment horizontal="center" vertical="center" wrapText="1"/>
    </xf>
    <xf numFmtId="0" fontId="4" fillId="0" borderId="74" xfId="3" applyBorder="1" applyAlignment="1">
      <alignment horizontal="left" wrapText="1"/>
    </xf>
    <xf numFmtId="0" fontId="0" fillId="6" borderId="42" xfId="0" applyFill="1" applyBorder="1"/>
    <xf numFmtId="0" fontId="38" fillId="0" borderId="75" xfId="0" applyFont="1" applyBorder="1" applyAlignment="1">
      <alignment vertical="center" wrapText="1"/>
    </xf>
    <xf numFmtId="0" fontId="4" fillId="6" borderId="1" xfId="3" applyFill="1" applyBorder="1" applyAlignment="1">
      <alignment horizontal="center" vertical="center"/>
    </xf>
    <xf numFmtId="0" fontId="18" fillId="0" borderId="74" xfId="2" applyFont="1" applyFill="1" applyBorder="1" applyAlignment="1">
      <alignment horizontal="center" vertical="center"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wrapText="1"/>
    </xf>
    <xf numFmtId="0" fontId="4" fillId="6" borderId="1" xfId="0" applyFont="1" applyFill="1" applyBorder="1" applyAlignment="1">
      <alignment horizontal="left" vertical="top" wrapText="1"/>
    </xf>
    <xf numFmtId="0" fontId="10" fillId="0" borderId="24" xfId="0" applyFont="1" applyFill="1" applyBorder="1" applyAlignment="1">
      <alignment horizontal="center" vertical="center"/>
    </xf>
    <xf numFmtId="0" fontId="4" fillId="6" borderId="1" xfId="0" applyFont="1" applyFill="1" applyBorder="1" applyAlignment="1">
      <alignment horizontal="left" vertical="top" wrapText="1"/>
    </xf>
    <xf numFmtId="0" fontId="10" fillId="0" borderId="32" xfId="0" applyFont="1" applyFill="1" applyBorder="1" applyAlignment="1">
      <alignment horizontal="center" vertical="center" wrapText="1"/>
    </xf>
    <xf numFmtId="0" fontId="10" fillId="0" borderId="10" xfId="0" quotePrefix="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10" xfId="0" applyFont="1" applyFill="1" applyBorder="1" applyAlignment="1">
      <alignment horizontal="center" vertical="center"/>
    </xf>
    <xf numFmtId="0" fontId="10" fillId="0" borderId="10" xfId="0" applyFont="1" applyFill="1" applyBorder="1" applyAlignment="1">
      <alignment horizontal="left" vertical="top" wrapText="1"/>
    </xf>
    <xf numFmtId="0" fontId="10" fillId="0" borderId="27" xfId="0" applyFont="1" applyFill="1" applyBorder="1" applyAlignment="1">
      <alignment horizontal="center" vertical="center" wrapText="1"/>
    </xf>
    <xf numFmtId="0" fontId="10" fillId="0" borderId="2" xfId="0" quotePrefix="1"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2" xfId="0" applyFont="1" applyFill="1" applyBorder="1" applyAlignment="1">
      <alignment horizontal="left" vertical="top" wrapText="1"/>
    </xf>
    <xf numFmtId="0" fontId="10" fillId="0" borderId="44" xfId="0" applyFont="1" applyFill="1" applyBorder="1" applyAlignment="1">
      <alignment horizontal="center" vertical="center" wrapText="1"/>
    </xf>
    <xf numFmtId="0" fontId="10" fillId="0" borderId="30" xfId="0" quotePrefix="1" applyFont="1" applyFill="1" applyBorder="1" applyAlignment="1">
      <alignment horizontal="center" vertical="center" wrapText="1"/>
    </xf>
    <xf numFmtId="0" fontId="10" fillId="0" borderId="30" xfId="1" applyFont="1" applyFill="1" applyBorder="1" applyAlignment="1">
      <alignment horizontal="center" vertical="center" wrapText="1"/>
    </xf>
    <xf numFmtId="0" fontId="10" fillId="0" borderId="30" xfId="0" applyFont="1" applyFill="1" applyBorder="1" applyAlignment="1">
      <alignment horizontal="center" vertical="center"/>
    </xf>
    <xf numFmtId="0" fontId="10" fillId="0" borderId="30" xfId="0" applyFont="1" applyFill="1" applyBorder="1" applyAlignment="1">
      <alignment horizontal="left" vertical="top" wrapText="1"/>
    </xf>
    <xf numFmtId="0" fontId="4" fillId="6" borderId="37" xfId="0" applyFont="1" applyFill="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0" fillId="0" borderId="1" xfId="0" applyFont="1" applyBorder="1" applyAlignment="1">
      <alignment horizontal="center" vertical="center"/>
    </xf>
    <xf numFmtId="0" fontId="4" fillId="6" borderId="1" xfId="0" applyFont="1" applyFill="1" applyBorder="1" applyAlignment="1">
      <alignment horizontal="left" vertical="top" wrapText="1"/>
    </xf>
    <xf numFmtId="0" fontId="4" fillId="0" borderId="1" xfId="3" applyFont="1" applyBorder="1" applyAlignment="1">
      <alignment horizontal="center" vertical="center"/>
    </xf>
    <xf numFmtId="0" fontId="8" fillId="3" borderId="24" xfId="1" applyBorder="1" applyAlignment="1">
      <alignment horizontal="center" vertical="center" wrapText="1"/>
    </xf>
    <xf numFmtId="0" fontId="1" fillId="13" borderId="1" xfId="4" applyBorder="1" applyAlignment="1">
      <alignment horizontal="center" vertical="center"/>
    </xf>
    <xf numFmtId="0" fontId="11" fillId="8" borderId="49" xfId="2" applyBorder="1" applyAlignment="1">
      <alignment horizontal="center" vertical="center"/>
    </xf>
    <xf numFmtId="0" fontId="4" fillId="6" borderId="1" xfId="0" quotePrefix="1" applyFont="1" applyFill="1" applyBorder="1" applyAlignment="1">
      <alignment horizontal="left" vertical="top" wrapText="1"/>
    </xf>
    <xf numFmtId="0" fontId="4" fillId="0" borderId="0" xfId="3"/>
    <xf numFmtId="0" fontId="19" fillId="0" borderId="0" xfId="3" applyFont="1"/>
    <xf numFmtId="0" fontId="5" fillId="6" borderId="1" xfId="0" applyFont="1" applyFill="1" applyBorder="1" applyAlignment="1">
      <alignment horizontal="center"/>
    </xf>
    <xf numFmtId="0" fontId="10" fillId="0" borderId="25" xfId="0" applyNumberFormat="1" applyFont="1" applyBorder="1" applyAlignment="1">
      <alignment horizontal="center" vertical="center"/>
    </xf>
    <xf numFmtId="0" fontId="10" fillId="0" borderId="26" xfId="0" applyNumberFormat="1" applyFont="1" applyBorder="1" applyAlignment="1">
      <alignment horizontal="center" vertical="center"/>
    </xf>
    <xf numFmtId="0" fontId="10" fillId="0" borderId="29" xfId="0" applyNumberFormat="1" applyFont="1" applyBorder="1" applyAlignment="1">
      <alignment horizontal="center" vertical="center"/>
    </xf>
    <xf numFmtId="0" fontId="4" fillId="0" borderId="1" xfId="0" applyFont="1" applyBorder="1" applyAlignment="1">
      <alignment horizontal="left" vertical="center" wrapText="1"/>
    </xf>
    <xf numFmtId="0" fontId="0" fillId="0" borderId="1" xfId="0" applyBorder="1" applyAlignment="1">
      <alignment horizontal="left" vertical="center" wrapText="1"/>
    </xf>
    <xf numFmtId="0" fontId="4" fillId="0" borderId="1" xfId="0" applyFont="1" applyBorder="1" applyAlignment="1">
      <alignment horizontal="left" vertical="center"/>
    </xf>
    <xf numFmtId="0" fontId="0" fillId="0" borderId="1" xfId="0" applyBorder="1" applyAlignment="1">
      <alignment horizontal="left" vertical="center"/>
    </xf>
    <xf numFmtId="0" fontId="0" fillId="0" borderId="23" xfId="0" applyBorder="1" applyAlignment="1">
      <alignment horizontal="center" vertical="center"/>
    </xf>
    <xf numFmtId="0" fontId="0" fillId="0" borderId="30" xfId="0" applyBorder="1" applyAlignment="1">
      <alignment horizontal="center" vertical="center"/>
    </xf>
    <xf numFmtId="0" fontId="10" fillId="0" borderId="31" xfId="0" applyNumberFormat="1" applyFont="1" applyBorder="1" applyAlignment="1">
      <alignment horizontal="center" vertical="center"/>
    </xf>
    <xf numFmtId="0" fontId="0" fillId="0" borderId="21" xfId="0" applyBorder="1" applyAlignment="1">
      <alignment horizontal="center" vertical="center"/>
    </xf>
    <xf numFmtId="0" fontId="10" fillId="0" borderId="24" xfId="0" applyFont="1" applyFill="1" applyBorder="1" applyAlignment="1">
      <alignment horizontal="center" vertical="center"/>
    </xf>
    <xf numFmtId="0" fontId="0" fillId="0" borderId="1" xfId="0" applyFill="1" applyBorder="1" applyAlignment="1">
      <alignment horizontal="center" vertical="center"/>
    </xf>
    <xf numFmtId="0" fontId="0" fillId="0" borderId="28" xfId="0" applyFill="1" applyBorder="1" applyAlignment="1">
      <alignment horizontal="center" vertical="center"/>
    </xf>
    <xf numFmtId="0" fontId="10" fillId="0" borderId="24" xfId="0" applyFont="1" applyBorder="1" applyAlignment="1">
      <alignment horizontal="center" vertical="center"/>
    </xf>
    <xf numFmtId="0" fontId="0" fillId="0" borderId="1" xfId="0" applyBorder="1" applyAlignment="1">
      <alignment horizontal="center" vertical="center"/>
    </xf>
    <xf numFmtId="0" fontId="0" fillId="0" borderId="28" xfId="0" applyBorder="1" applyAlignment="1">
      <alignment horizontal="center" vertical="center"/>
    </xf>
    <xf numFmtId="0" fontId="0" fillId="0" borderId="26" xfId="0" applyBorder="1" applyAlignment="1">
      <alignment horizontal="center" vertical="center"/>
    </xf>
    <xf numFmtId="0" fontId="0" fillId="0" borderId="29" xfId="0" applyBorder="1" applyAlignment="1">
      <alignment horizontal="center" vertical="center"/>
    </xf>
    <xf numFmtId="0" fontId="4" fillId="6" borderId="23"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30" xfId="0" applyFont="1" applyFill="1" applyBorder="1" applyAlignment="1">
      <alignment horizontal="center" vertical="center"/>
    </xf>
    <xf numFmtId="0" fontId="0" fillId="0" borderId="23" xfId="0" applyFill="1" applyBorder="1" applyAlignment="1">
      <alignment horizontal="center" vertical="center"/>
    </xf>
    <xf numFmtId="0" fontId="0" fillId="0" borderId="13" xfId="0" applyFill="1" applyBorder="1" applyAlignment="1">
      <alignment horizontal="center" vertical="center"/>
    </xf>
    <xf numFmtId="0" fontId="0" fillId="0" borderId="30" xfId="0" applyFill="1" applyBorder="1" applyAlignment="1">
      <alignment horizontal="center" vertical="center"/>
    </xf>
    <xf numFmtId="0" fontId="0" fillId="0" borderId="31" xfId="0" applyFill="1" applyBorder="1" applyAlignment="1">
      <alignment horizontal="center" vertical="center"/>
    </xf>
    <xf numFmtId="0" fontId="0" fillId="0" borderId="34" xfId="0" applyFill="1" applyBorder="1" applyAlignment="1">
      <alignment horizontal="center" vertical="center"/>
    </xf>
    <xf numFmtId="0" fontId="0" fillId="0" borderId="21" xfId="0" applyFill="1" applyBorder="1" applyAlignment="1">
      <alignment horizontal="center" vertical="center"/>
    </xf>
    <xf numFmtId="0" fontId="4" fillId="6" borderId="52" xfId="0" applyFont="1" applyFill="1" applyBorder="1" applyAlignment="1">
      <alignment horizontal="center" vertical="center"/>
    </xf>
    <xf numFmtId="0" fontId="0" fillId="6" borderId="60" xfId="0" applyFill="1" applyBorder="1" applyAlignment="1">
      <alignment horizontal="center" vertical="center"/>
    </xf>
    <xf numFmtId="0" fontId="0" fillId="6" borderId="56" xfId="0" applyFill="1" applyBorder="1" applyAlignment="1">
      <alignment horizontal="center" vertical="center"/>
    </xf>
    <xf numFmtId="0" fontId="0" fillId="6" borderId="23" xfId="0" applyFill="1" applyBorder="1" applyAlignment="1">
      <alignment horizontal="center" vertical="center"/>
    </xf>
    <xf numFmtId="0" fontId="0" fillId="6" borderId="13" xfId="0" applyFill="1" applyBorder="1" applyAlignment="1">
      <alignment horizontal="center" vertical="center"/>
    </xf>
    <xf numFmtId="0" fontId="0" fillId="6" borderId="30" xfId="0" applyFill="1" applyBorder="1" applyAlignment="1">
      <alignment horizontal="center" vertical="center"/>
    </xf>
    <xf numFmtId="0" fontId="0" fillId="6" borderId="31" xfId="0" applyFill="1" applyBorder="1" applyAlignment="1">
      <alignment horizontal="center" vertical="center"/>
    </xf>
    <xf numFmtId="0" fontId="0" fillId="6" borderId="34" xfId="0" applyFill="1" applyBorder="1" applyAlignment="1">
      <alignment horizontal="center" vertical="center"/>
    </xf>
    <xf numFmtId="0" fontId="0" fillId="6" borderId="21" xfId="0" applyFill="1" applyBorder="1" applyAlignment="1">
      <alignment horizontal="center" vertical="center"/>
    </xf>
    <xf numFmtId="0" fontId="10" fillId="0" borderId="23" xfId="0" applyFont="1" applyBorder="1" applyAlignment="1">
      <alignment horizontal="center" vertical="center"/>
    </xf>
    <xf numFmtId="0" fontId="10" fillId="0" borderId="13" xfId="0" applyFont="1" applyBorder="1" applyAlignment="1">
      <alignment horizontal="center" vertical="center"/>
    </xf>
    <xf numFmtId="0" fontId="10" fillId="0" borderId="30" xfId="0" applyFont="1" applyBorder="1" applyAlignment="1">
      <alignment horizontal="center" vertical="center"/>
    </xf>
    <xf numFmtId="0" fontId="10" fillId="0" borderId="34" xfId="0" applyNumberFormat="1" applyFont="1" applyBorder="1" applyAlignment="1">
      <alignment horizontal="center" vertical="center"/>
    </xf>
    <xf numFmtId="0" fontId="10" fillId="0" borderId="21" xfId="0" applyNumberFormat="1" applyFont="1" applyBorder="1" applyAlignment="1">
      <alignment horizontal="center" vertical="center"/>
    </xf>
    <xf numFmtId="0" fontId="0" fillId="0" borderId="13" xfId="0" applyBorder="1" applyAlignment="1">
      <alignment horizontal="center" vertical="center"/>
    </xf>
    <xf numFmtId="0" fontId="0" fillId="0" borderId="34" xfId="0" applyBorder="1" applyAlignment="1">
      <alignment horizontal="center" vertical="center"/>
    </xf>
    <xf numFmtId="0" fontId="4" fillId="0" borderId="31" xfId="0" applyNumberFormat="1" applyFont="1" applyBorder="1" applyAlignment="1">
      <alignment horizontal="center" vertical="center"/>
    </xf>
    <xf numFmtId="0" fontId="4" fillId="0" borderId="34" xfId="0" applyFont="1" applyBorder="1" applyAlignment="1">
      <alignment horizontal="center" vertical="center"/>
    </xf>
    <xf numFmtId="0" fontId="4" fillId="0" borderId="21" xfId="0" applyFont="1" applyBorder="1" applyAlignment="1">
      <alignment horizontal="center" vertical="center"/>
    </xf>
    <xf numFmtId="0" fontId="27" fillId="11" borderId="4" xfId="0" applyFont="1" applyFill="1" applyBorder="1" applyAlignment="1">
      <alignment horizontal="center"/>
    </xf>
    <xf numFmtId="0" fontId="27" fillId="11" borderId="42" xfId="0" applyFont="1" applyFill="1" applyBorder="1" applyAlignment="1">
      <alignment horizontal="center"/>
    </xf>
    <xf numFmtId="0" fontId="27" fillId="11" borderId="41" xfId="0" applyFont="1" applyFill="1" applyBorder="1" applyAlignment="1">
      <alignment horizontal="center"/>
    </xf>
    <xf numFmtId="0" fontId="4" fillId="0" borderId="24" xfId="0" applyFont="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10" fillId="0" borderId="28" xfId="0" applyFont="1" applyBorder="1" applyAlignment="1">
      <alignment horizontal="center" vertical="center"/>
    </xf>
    <xf numFmtId="0" fontId="0" fillId="0" borderId="25" xfId="0" applyFill="1" applyBorder="1" applyAlignment="1">
      <alignment horizontal="center" vertical="center"/>
    </xf>
    <xf numFmtId="0" fontId="0" fillId="0" borderId="29" xfId="0" applyFill="1" applyBorder="1" applyAlignment="1">
      <alignment horizontal="center" vertical="center"/>
    </xf>
    <xf numFmtId="0" fontId="4" fillId="6" borderId="24" xfId="0" applyFont="1" applyFill="1" applyBorder="1" applyAlignment="1">
      <alignment horizontal="center" vertical="center"/>
    </xf>
    <xf numFmtId="0" fontId="4" fillId="6" borderId="28" xfId="0" applyFont="1" applyFill="1" applyBorder="1" applyAlignment="1">
      <alignment horizontal="center" vertical="center"/>
    </xf>
    <xf numFmtId="0" fontId="0" fillId="0" borderId="24" xfId="0" applyFill="1" applyBorder="1" applyAlignment="1">
      <alignment horizontal="center" vertical="center"/>
    </xf>
    <xf numFmtId="0" fontId="4" fillId="0" borderId="23" xfId="0" applyFont="1" applyBorder="1" applyAlignment="1">
      <alignment horizontal="center" vertical="center"/>
    </xf>
    <xf numFmtId="0" fontId="0" fillId="0" borderId="31" xfId="0" applyBorder="1" applyAlignment="1">
      <alignment horizontal="center" vertical="center"/>
    </xf>
    <xf numFmtId="0" fontId="10" fillId="0" borderId="1" xfId="0" applyFont="1" applyBorder="1" applyAlignment="1">
      <alignment horizontal="center" vertical="center"/>
    </xf>
    <xf numFmtId="0" fontId="4" fillId="0" borderId="25" xfId="0" applyNumberFormat="1" applyFont="1" applyBorder="1" applyAlignment="1">
      <alignment horizontal="center" vertical="center"/>
    </xf>
    <xf numFmtId="0" fontId="4" fillId="0" borderId="26" xfId="0" applyNumberFormat="1" applyFont="1" applyBorder="1" applyAlignment="1">
      <alignment horizontal="center" vertical="center"/>
    </xf>
    <xf numFmtId="0" fontId="4" fillId="0" borderId="29" xfId="0" applyNumberFormat="1" applyFont="1" applyBorder="1" applyAlignment="1">
      <alignment horizontal="center" vertical="center"/>
    </xf>
    <xf numFmtId="0" fontId="4" fillId="0" borderId="34" xfId="0" applyNumberFormat="1" applyFont="1" applyBorder="1" applyAlignment="1">
      <alignment horizontal="center" vertical="center"/>
    </xf>
    <xf numFmtId="0" fontId="11" fillId="8" borderId="10" xfId="2" applyBorder="1" applyAlignment="1">
      <alignment horizontal="center" vertical="center" wrapText="1"/>
    </xf>
    <xf numFmtId="0" fontId="11" fillId="8" borderId="13" xfId="2" applyBorder="1" applyAlignment="1">
      <alignment horizontal="center" vertical="center" wrapText="1"/>
    </xf>
    <xf numFmtId="0" fontId="11" fillId="8" borderId="2" xfId="2" applyBorder="1" applyAlignment="1">
      <alignment horizontal="center" vertical="center" wrapText="1"/>
    </xf>
    <xf numFmtId="0" fontId="4" fillId="6" borderId="55" xfId="0" applyFont="1" applyFill="1" applyBorder="1" applyAlignment="1">
      <alignment horizontal="center"/>
    </xf>
    <xf numFmtId="0" fontId="0" fillId="6" borderId="55" xfId="0" applyFill="1" applyBorder="1" applyAlignment="1">
      <alignment horizontal="center"/>
    </xf>
    <xf numFmtId="0" fontId="16" fillId="0" borderId="0" xfId="2" applyFont="1" applyFill="1" applyBorder="1" applyAlignment="1">
      <alignment horizontal="center"/>
    </xf>
    <xf numFmtId="0" fontId="4" fillId="0" borderId="0" xfId="0" applyFont="1" applyFill="1" applyBorder="1" applyAlignment="1">
      <alignment horizontal="center"/>
    </xf>
    <xf numFmtId="0" fontId="4" fillId="0" borderId="0" xfId="0" applyFont="1" applyBorder="1" applyAlignment="1">
      <alignment horizontal="center"/>
    </xf>
    <xf numFmtId="0" fontId="4" fillId="6" borderId="1" xfId="0" applyFont="1" applyFill="1" applyBorder="1" applyAlignment="1">
      <alignment horizontal="left" vertical="top" wrapText="1"/>
    </xf>
    <xf numFmtId="0" fontId="10" fillId="0" borderId="10" xfId="0" applyFont="1" applyBorder="1" applyAlignment="1">
      <alignment horizontal="center" vertical="center"/>
    </xf>
    <xf numFmtId="0" fontId="10" fillId="0" borderId="2" xfId="0" applyFont="1" applyBorder="1" applyAlignment="1">
      <alignment horizontal="center" vertical="center"/>
    </xf>
    <xf numFmtId="0" fontId="10" fillId="0" borderId="10" xfId="0" applyNumberFormat="1" applyFont="1" applyBorder="1" applyAlignment="1">
      <alignment horizontal="center" vertical="center"/>
    </xf>
    <xf numFmtId="0" fontId="10" fillId="0" borderId="2" xfId="0" applyNumberFormat="1" applyFont="1" applyBorder="1" applyAlignment="1">
      <alignment horizontal="center" vertical="center"/>
    </xf>
    <xf numFmtId="0" fontId="4" fillId="0" borderId="1" xfId="0" applyFont="1" applyBorder="1" applyAlignment="1">
      <alignment horizontal="left" vertical="top" wrapText="1"/>
    </xf>
    <xf numFmtId="0" fontId="4" fillId="0" borderId="10" xfId="0" applyFont="1" applyBorder="1" applyAlignment="1">
      <alignment horizontal="left" vertical="top" wrapText="1"/>
    </xf>
    <xf numFmtId="0" fontId="10" fillId="6" borderId="0" xfId="0" applyFont="1" applyFill="1" applyBorder="1" applyAlignment="1">
      <alignment horizontal="center" vertical="center" wrapText="1"/>
    </xf>
    <xf numFmtId="0" fontId="4" fillId="0" borderId="43" xfId="0" applyFont="1" applyBorder="1" applyAlignment="1">
      <alignment horizontal="center" vertical="center"/>
    </xf>
    <xf numFmtId="0" fontId="4" fillId="0" borderId="45" xfId="0" applyFont="1" applyBorder="1" applyAlignment="1">
      <alignment horizontal="center" vertical="center"/>
    </xf>
    <xf numFmtId="0" fontId="4" fillId="0" borderId="44" xfId="0" applyFont="1" applyBorder="1" applyAlignment="1">
      <alignment horizontal="center" vertical="center"/>
    </xf>
    <xf numFmtId="0" fontId="10" fillId="6" borderId="0" xfId="0" applyFont="1" applyFill="1" applyBorder="1" applyAlignment="1">
      <alignment vertical="center" wrapText="1"/>
    </xf>
    <xf numFmtId="0" fontId="10" fillId="6" borderId="0" xfId="0" applyFont="1" applyFill="1" applyAlignment="1">
      <alignment vertical="center" wrapText="1"/>
    </xf>
    <xf numFmtId="0" fontId="10" fillId="6" borderId="14" xfId="0" applyFont="1" applyFill="1" applyBorder="1" applyAlignment="1">
      <alignment vertical="center" wrapText="1"/>
    </xf>
    <xf numFmtId="0" fontId="4" fillId="0" borderId="2" xfId="0" applyFont="1" applyBorder="1" applyAlignment="1">
      <alignment horizontal="left" vertical="center" wrapText="1"/>
    </xf>
    <xf numFmtId="0" fontId="4" fillId="5" borderId="1" xfId="1" applyFont="1" applyFill="1" applyBorder="1" applyAlignment="1">
      <alignment horizontal="center" vertical="center"/>
    </xf>
    <xf numFmtId="0" fontId="4" fillId="5" borderId="26" xfId="1" applyFont="1" applyFill="1" applyBorder="1" applyAlignment="1">
      <alignment horizontal="center" vertical="center"/>
    </xf>
    <xf numFmtId="0" fontId="18" fillId="0" borderId="61" xfId="2" applyFont="1" applyFill="1" applyBorder="1" applyAlignment="1">
      <alignment horizontal="center"/>
    </xf>
    <xf numFmtId="0" fontId="18" fillId="0" borderId="62" xfId="2" applyFont="1" applyFill="1" applyBorder="1" applyAlignment="1">
      <alignment horizontal="center"/>
    </xf>
    <xf numFmtId="0" fontId="11" fillId="8" borderId="65" xfId="2" applyBorder="1" applyAlignment="1">
      <alignment horizontal="center"/>
    </xf>
    <xf numFmtId="0" fontId="11" fillId="8" borderId="66" xfId="2" applyBorder="1" applyAlignment="1">
      <alignment horizontal="center"/>
    </xf>
    <xf numFmtId="0" fontId="18" fillId="0" borderId="6" xfId="2" applyFont="1" applyFill="1" applyBorder="1" applyAlignment="1">
      <alignment horizontal="center"/>
    </xf>
    <xf numFmtId="0" fontId="2" fillId="0" borderId="0" xfId="0" applyFont="1" applyFill="1" applyBorder="1" applyAlignment="1">
      <alignment horizontal="left" vertical="top" wrapText="1"/>
    </xf>
    <xf numFmtId="0" fontId="0" fillId="7" borderId="19" xfId="0" applyFill="1" applyBorder="1" applyAlignment="1">
      <alignment horizontal="center"/>
    </xf>
    <xf numFmtId="0" fontId="0" fillId="7" borderId="20" xfId="0" applyFill="1" applyBorder="1" applyAlignment="1">
      <alignment horizontal="center"/>
    </xf>
    <xf numFmtId="0" fontId="0" fillId="4" borderId="19" xfId="0" applyFill="1" applyBorder="1" applyAlignment="1">
      <alignment horizontal="center"/>
    </xf>
    <xf numFmtId="0" fontId="0" fillId="4" borderId="21" xfId="0" applyFill="1" applyBorder="1" applyAlignment="1">
      <alignment horizontal="center"/>
    </xf>
    <xf numFmtId="0" fontId="4" fillId="0" borderId="14" xfId="0" applyFont="1" applyBorder="1" applyAlignment="1">
      <alignment horizontal="left" vertical="center" wrapText="1"/>
    </xf>
    <xf numFmtId="0" fontId="0" fillId="0" borderId="0" xfId="0" applyBorder="1" applyAlignment="1">
      <alignment wrapText="1"/>
    </xf>
    <xf numFmtId="0" fontId="0" fillId="0" borderId="15" xfId="0" applyBorder="1" applyAlignment="1">
      <alignment wrapText="1"/>
    </xf>
    <xf numFmtId="0" fontId="0" fillId="0" borderId="14" xfId="0" applyBorder="1" applyAlignment="1">
      <alignment wrapText="1"/>
    </xf>
    <xf numFmtId="0" fontId="0" fillId="0" borderId="16" xfId="0" applyBorder="1" applyAlignment="1">
      <alignment wrapText="1"/>
    </xf>
    <xf numFmtId="0" fontId="0" fillId="0" borderId="17" xfId="0" applyBorder="1" applyAlignment="1">
      <alignment wrapText="1"/>
    </xf>
    <xf numFmtId="0" fontId="0" fillId="0" borderId="18" xfId="0" applyBorder="1" applyAlignment="1">
      <alignment wrapText="1"/>
    </xf>
    <xf numFmtId="49" fontId="4" fillId="5" borderId="11" xfId="1" applyNumberFormat="1" applyFont="1" applyFill="1" applyBorder="1" applyAlignment="1">
      <alignment horizontal="center" vertical="center"/>
    </xf>
    <xf numFmtId="49" fontId="4" fillId="5" borderId="12" xfId="1" applyNumberFormat="1" applyFont="1" applyFill="1" applyBorder="1" applyAlignment="1">
      <alignment horizontal="center" vertical="center"/>
    </xf>
    <xf numFmtId="0" fontId="3" fillId="0" borderId="1" xfId="0" applyFont="1" applyFill="1" applyBorder="1" applyAlignment="1">
      <alignment horizontal="center"/>
    </xf>
    <xf numFmtId="0" fontId="3" fillId="0" borderId="26" xfId="0" applyFont="1" applyFill="1" applyBorder="1" applyAlignment="1">
      <alignment horizontal="center"/>
    </xf>
    <xf numFmtId="0" fontId="13" fillId="0" borderId="1" xfId="0" applyFont="1" applyBorder="1" applyAlignment="1">
      <alignment horizontal="left" vertical="top"/>
    </xf>
    <xf numFmtId="0" fontId="4" fillId="5" borderId="1" xfId="1" applyNumberFormat="1" applyFont="1" applyFill="1" applyBorder="1" applyAlignment="1">
      <alignment horizontal="center" vertical="center"/>
    </xf>
    <xf numFmtId="49" fontId="4" fillId="5" borderId="26" xfId="1" applyNumberFormat="1" applyFont="1" applyFill="1" applyBorder="1" applyAlignment="1">
      <alignment horizontal="center" vertical="center"/>
    </xf>
    <xf numFmtId="0" fontId="4" fillId="5" borderId="11" xfId="1" applyFont="1" applyFill="1" applyBorder="1" applyAlignment="1">
      <alignment horizontal="center" vertical="center"/>
    </xf>
    <xf numFmtId="0" fontId="4" fillId="5" borderId="12" xfId="1" applyFont="1" applyFill="1" applyBorder="1" applyAlignment="1">
      <alignment horizontal="center" vertical="center"/>
    </xf>
    <xf numFmtId="0" fontId="2" fillId="0" borderId="0" xfId="0" applyFont="1" applyFill="1" applyBorder="1" applyAlignment="1">
      <alignment vertical="center" wrapText="1"/>
    </xf>
    <xf numFmtId="0" fontId="0" fillId="0" borderId="0" xfId="0" applyAlignment="1">
      <alignment vertical="center" wrapText="1"/>
    </xf>
    <xf numFmtId="0" fontId="11" fillId="8" borderId="53" xfId="2" applyBorder="1" applyAlignment="1">
      <alignment horizontal="center" vertical="center"/>
    </xf>
    <xf numFmtId="0" fontId="11" fillId="8" borderId="54" xfId="2" applyBorder="1" applyAlignment="1">
      <alignment horizontal="center" vertical="center"/>
    </xf>
    <xf numFmtId="0" fontId="3" fillId="0" borderId="0" xfId="0" applyFont="1" applyBorder="1" applyAlignment="1">
      <alignment horizontal="center" vertical="center"/>
    </xf>
    <xf numFmtId="0" fontId="3" fillId="0" borderId="0" xfId="0" applyFont="1" applyAlignment="1">
      <alignment horizontal="center"/>
    </xf>
    <xf numFmtId="0" fontId="2" fillId="0" borderId="0" xfId="0" applyFont="1" applyFill="1" applyBorder="1" applyAlignment="1">
      <alignment wrapText="1"/>
    </xf>
    <xf numFmtId="0" fontId="0" fillId="0" borderId="0" xfId="0" applyAlignment="1">
      <alignment wrapText="1"/>
    </xf>
    <xf numFmtId="0" fontId="4" fillId="5" borderId="1" xfId="0" applyFont="1" applyFill="1" applyBorder="1" applyAlignment="1">
      <alignment horizontal="center" vertical="center"/>
    </xf>
    <xf numFmtId="0" fontId="4" fillId="5" borderId="26" xfId="0" applyFont="1" applyFill="1" applyBorder="1" applyAlignment="1">
      <alignment horizontal="center" vertical="center"/>
    </xf>
    <xf numFmtId="0" fontId="4" fillId="6" borderId="11" xfId="1" applyFont="1" applyFill="1" applyBorder="1" applyAlignment="1">
      <alignment horizontal="center" vertical="center"/>
    </xf>
    <xf numFmtId="0" fontId="4" fillId="6" borderId="12" xfId="1" applyFont="1" applyFill="1" applyBorder="1" applyAlignment="1">
      <alignment horizontal="center" vertical="center"/>
    </xf>
    <xf numFmtId="0" fontId="11" fillId="8" borderId="35" xfId="2" applyBorder="1" applyAlignment="1">
      <alignment horizontal="center" vertical="center"/>
    </xf>
    <xf numFmtId="0" fontId="11" fillId="8" borderId="40" xfId="2" applyBorder="1" applyAlignment="1">
      <alignment horizontal="center" vertical="center"/>
    </xf>
    <xf numFmtId="0" fontId="11" fillId="8" borderId="76" xfId="2" applyBorder="1" applyAlignment="1">
      <alignment horizontal="center" vertical="center"/>
    </xf>
    <xf numFmtId="0" fontId="11" fillId="8" borderId="77" xfId="2" applyBorder="1" applyAlignment="1">
      <alignment horizontal="center" vertical="center"/>
    </xf>
    <xf numFmtId="0" fontId="0" fillId="5" borderId="19" xfId="0" applyFill="1" applyBorder="1" applyAlignment="1">
      <alignment horizontal="center"/>
    </xf>
    <xf numFmtId="0" fontId="0" fillId="5" borderId="20" xfId="0" applyFill="1" applyBorder="1" applyAlignment="1">
      <alignment horizontal="center"/>
    </xf>
    <xf numFmtId="0" fontId="14" fillId="2" borderId="0" xfId="0" applyFont="1" applyFill="1" applyAlignment="1">
      <alignment horizontal="right"/>
    </xf>
    <xf numFmtId="0" fontId="14" fillId="2" borderId="1" xfId="0" applyFont="1" applyFill="1" applyBorder="1" applyAlignment="1">
      <alignment horizontal="left"/>
    </xf>
    <xf numFmtId="0" fontId="9" fillId="0" borderId="4" xfId="0" applyFont="1" applyBorder="1" applyAlignment="1">
      <alignment horizontal="center" vertical="center" wrapText="1"/>
    </xf>
    <xf numFmtId="0" fontId="9" fillId="0" borderId="42" xfId="0" applyFont="1" applyBorder="1" applyAlignment="1">
      <alignment horizontal="center" vertical="center" wrapText="1"/>
    </xf>
    <xf numFmtId="0" fontId="9" fillId="0" borderId="41" xfId="0" applyFont="1" applyBorder="1" applyAlignment="1">
      <alignment horizontal="center" vertical="center" wrapText="1"/>
    </xf>
    <xf numFmtId="0" fontId="4" fillId="0" borderId="26" xfId="0" applyFont="1" applyBorder="1" applyAlignment="1">
      <alignment horizontal="center" vertical="center"/>
    </xf>
    <xf numFmtId="0" fontId="4" fillId="0" borderId="29" xfId="0" applyFont="1" applyBorder="1" applyAlignment="1">
      <alignment horizontal="center" vertical="center"/>
    </xf>
    <xf numFmtId="0" fontId="10" fillId="0" borderId="24"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8" xfId="0" applyFont="1" applyBorder="1" applyAlignment="1">
      <alignment horizontal="center" vertical="center" wrapText="1"/>
    </xf>
    <xf numFmtId="0" fontId="4" fillId="0" borderId="1" xfId="0" applyFont="1" applyBorder="1" applyAlignment="1">
      <alignment horizontal="center" vertical="center"/>
    </xf>
    <xf numFmtId="0" fontId="14" fillId="6" borderId="0" xfId="0" applyFont="1" applyFill="1" applyBorder="1" applyAlignment="1">
      <alignment horizontal="center" wrapText="1"/>
    </xf>
    <xf numFmtId="0" fontId="11" fillId="8" borderId="22" xfId="2" applyBorder="1" applyAlignment="1">
      <alignment horizontal="center" vertical="center"/>
    </xf>
    <xf numFmtId="0" fontId="11" fillId="8" borderId="39" xfId="2" applyBorder="1" applyAlignment="1">
      <alignment horizontal="center" vertical="center"/>
    </xf>
    <xf numFmtId="0" fontId="4" fillId="5" borderId="11" xfId="1" applyNumberFormat="1" applyFont="1" applyFill="1" applyBorder="1" applyAlignment="1">
      <alignment horizontal="center" vertical="center"/>
    </xf>
    <xf numFmtId="0" fontId="4" fillId="6" borderId="8" xfId="0" applyFont="1" applyFill="1" applyBorder="1" applyAlignment="1">
      <alignment horizontal="left" vertical="center" wrapText="1"/>
    </xf>
    <xf numFmtId="0" fontId="4" fillId="6" borderId="9" xfId="0" applyFont="1" applyFill="1" applyBorder="1" applyAlignment="1">
      <alignment horizontal="left" vertical="center" wrapText="1"/>
    </xf>
    <xf numFmtId="0" fontId="0" fillId="6" borderId="0" xfId="0" applyFill="1" applyBorder="1" applyAlignment="1">
      <alignment horizontal="left" vertical="center" wrapText="1"/>
    </xf>
    <xf numFmtId="0" fontId="4" fillId="6" borderId="57" xfId="0" applyFont="1" applyFill="1" applyBorder="1" applyAlignment="1">
      <alignment horizontal="center" vertical="center"/>
    </xf>
    <xf numFmtId="0" fontId="4" fillId="6" borderId="47" xfId="0" applyFont="1" applyFill="1" applyBorder="1" applyAlignment="1">
      <alignment horizontal="center" vertical="center"/>
    </xf>
    <xf numFmtId="0" fontId="4" fillId="6" borderId="58" xfId="0" applyFont="1" applyFill="1" applyBorder="1" applyAlignment="1">
      <alignment horizontal="center" vertical="center"/>
    </xf>
    <xf numFmtId="0" fontId="0" fillId="6" borderId="24" xfId="0" applyFill="1" applyBorder="1" applyAlignment="1">
      <alignment horizontal="center" vertical="center"/>
    </xf>
    <xf numFmtId="0" fontId="0" fillId="6" borderId="1" xfId="0" applyFill="1" applyBorder="1" applyAlignment="1">
      <alignment horizontal="center" vertical="center"/>
    </xf>
    <xf numFmtId="0" fontId="0" fillId="6" borderId="28"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6" borderId="29" xfId="0" applyFill="1" applyBorder="1" applyAlignment="1">
      <alignment horizontal="center" vertical="center"/>
    </xf>
    <xf numFmtId="0" fontId="10" fillId="6" borderId="0" xfId="0" applyFont="1" applyFill="1" applyBorder="1" applyAlignment="1">
      <alignment horizontal="center" vertical="center"/>
    </xf>
    <xf numFmtId="0" fontId="3" fillId="9" borderId="4" xfId="0" applyFont="1" applyFill="1" applyBorder="1" applyAlignment="1">
      <alignment horizontal="center"/>
    </xf>
    <xf numFmtId="0" fontId="3" fillId="9" borderId="42" xfId="0" applyFont="1" applyFill="1" applyBorder="1" applyAlignment="1">
      <alignment horizontal="center"/>
    </xf>
    <xf numFmtId="0" fontId="3" fillId="9" borderId="41" xfId="0" applyFont="1" applyFill="1" applyBorder="1" applyAlignment="1">
      <alignment horizontal="center"/>
    </xf>
    <xf numFmtId="0" fontId="4" fillId="0" borderId="23"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3" xfId="0" applyFont="1" applyBorder="1" applyAlignment="1">
      <alignment horizontal="center" vertical="center"/>
    </xf>
    <xf numFmtId="0" fontId="4" fillId="0" borderId="30" xfId="0" applyFont="1" applyBorder="1" applyAlignment="1">
      <alignment horizontal="center" vertical="center"/>
    </xf>
    <xf numFmtId="0" fontId="4" fillId="0" borderId="23" xfId="0" applyFont="1" applyBorder="1" applyAlignment="1">
      <alignment horizontal="center" vertical="center" wrapText="1"/>
    </xf>
    <xf numFmtId="0" fontId="0" fillId="0" borderId="13" xfId="0" applyBorder="1" applyAlignment="1">
      <alignment horizontal="center" vertical="center" wrapText="1"/>
    </xf>
    <xf numFmtId="0" fontId="0" fillId="0" borderId="30" xfId="0" applyBorder="1" applyAlignment="1">
      <alignment horizontal="center" vertical="center" wrapText="1"/>
    </xf>
    <xf numFmtId="0" fontId="23" fillId="6" borderId="0" xfId="0" applyFont="1" applyFill="1" applyBorder="1" applyAlignment="1">
      <alignment horizontal="left" vertical="center" wrapText="1"/>
    </xf>
    <xf numFmtId="0" fontId="4" fillId="0" borderId="19" xfId="0" applyFont="1" applyBorder="1" applyAlignment="1">
      <alignment horizontal="left" vertical="top" wrapText="1"/>
    </xf>
    <xf numFmtId="0" fontId="4" fillId="0" borderId="34" xfId="0" applyFont="1" applyBorder="1" applyAlignment="1">
      <alignment horizontal="left" vertical="top"/>
    </xf>
    <xf numFmtId="0" fontId="4" fillId="0" borderId="20" xfId="0" applyFont="1" applyBorder="1" applyAlignment="1">
      <alignment horizontal="left" vertical="top"/>
    </xf>
    <xf numFmtId="0" fontId="4" fillId="0" borderId="57"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2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5"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5" xfId="0" applyFont="1" applyBorder="1" applyAlignment="1">
      <alignment horizontal="left" vertical="center" wrapText="1"/>
    </xf>
    <xf numFmtId="0" fontId="4" fillId="0" borderId="26" xfId="0" applyFont="1" applyBorder="1" applyAlignment="1">
      <alignment horizontal="left" vertical="center"/>
    </xf>
    <xf numFmtId="0" fontId="7" fillId="2" borderId="0" xfId="0" applyFont="1" applyFill="1" applyAlignment="1">
      <alignment horizontal="center"/>
    </xf>
    <xf numFmtId="0" fontId="23" fillId="6" borderId="14" xfId="0" applyFont="1" applyFill="1" applyBorder="1" applyAlignment="1">
      <alignment horizontal="left" vertical="center" wrapText="1"/>
    </xf>
    <xf numFmtId="0" fontId="10" fillId="0" borderId="31" xfId="0" applyNumberFormat="1" applyFont="1" applyFill="1" applyBorder="1" applyAlignment="1">
      <alignment horizontal="center" vertical="center"/>
    </xf>
    <xf numFmtId="0" fontId="10" fillId="0" borderId="23" xfId="0" applyFont="1" applyFill="1" applyBorder="1" applyAlignment="1">
      <alignment horizontal="center" vertical="center"/>
    </xf>
    <xf numFmtId="0" fontId="3" fillId="6" borderId="4" xfId="0" applyFont="1" applyFill="1" applyBorder="1" applyAlignment="1">
      <alignment horizontal="left" vertical="top" wrapText="1"/>
    </xf>
    <xf numFmtId="0" fontId="3" fillId="6" borderId="41" xfId="0" applyFont="1" applyFill="1" applyBorder="1" applyAlignment="1">
      <alignment horizontal="left" vertical="top" wrapText="1"/>
    </xf>
    <xf numFmtId="0" fontId="4" fillId="0" borderId="24" xfId="0" applyFont="1" applyBorder="1" applyAlignment="1">
      <alignment horizontal="left" vertical="center" wrapText="1"/>
    </xf>
    <xf numFmtId="0" fontId="2" fillId="0" borderId="10" xfId="0" applyFont="1" applyBorder="1" applyAlignment="1">
      <alignment horizontal="left" vertical="top" wrapText="1"/>
    </xf>
    <xf numFmtId="0" fontId="4" fillId="0" borderId="13" xfId="0" applyFont="1" applyBorder="1" applyAlignment="1">
      <alignment horizontal="left" vertical="top"/>
    </xf>
    <xf numFmtId="0" fontId="4" fillId="0" borderId="2" xfId="0" applyFont="1" applyBorder="1" applyAlignment="1">
      <alignment horizontal="left" vertical="top"/>
    </xf>
    <xf numFmtId="0" fontId="4" fillId="0" borderId="0" xfId="0" applyFont="1" applyAlignment="1">
      <alignment horizontal="center"/>
    </xf>
    <xf numFmtId="0" fontId="30" fillId="0" borderId="5" xfId="0" applyFont="1" applyBorder="1" applyAlignment="1">
      <alignment horizontal="left" vertical="center" wrapText="1"/>
    </xf>
    <xf numFmtId="0" fontId="30" fillId="0" borderId="7" xfId="0" applyFont="1" applyBorder="1" applyAlignment="1">
      <alignment horizontal="left" vertical="center" wrapText="1"/>
    </xf>
    <xf numFmtId="0" fontId="30" fillId="0" borderId="14" xfId="0" applyFont="1" applyBorder="1" applyAlignment="1">
      <alignment horizontal="left" vertical="center" wrapText="1"/>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18" xfId="0" applyFont="1" applyBorder="1" applyAlignment="1">
      <alignment horizontal="left" vertical="center" wrapText="1"/>
    </xf>
    <xf numFmtId="0" fontId="3" fillId="0" borderId="4" xfId="0" applyFont="1" applyBorder="1" applyAlignment="1">
      <alignment horizontal="center" vertical="center"/>
    </xf>
    <xf numFmtId="0" fontId="3" fillId="0" borderId="42" xfId="0" applyFont="1" applyBorder="1" applyAlignment="1">
      <alignment horizontal="center" vertical="center"/>
    </xf>
    <xf numFmtId="0" fontId="3" fillId="0" borderId="41" xfId="0"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3" fillId="12" borderId="4" xfId="0" applyFont="1" applyFill="1" applyBorder="1" applyAlignment="1">
      <alignment horizontal="center"/>
    </xf>
    <xf numFmtId="0" fontId="3" fillId="12" borderId="42" xfId="0" applyFont="1" applyFill="1" applyBorder="1" applyAlignment="1">
      <alignment horizontal="center"/>
    </xf>
    <xf numFmtId="0" fontId="3" fillId="12" borderId="41" xfId="0" applyFont="1" applyFill="1" applyBorder="1" applyAlignment="1">
      <alignment horizontal="center"/>
    </xf>
    <xf numFmtId="0" fontId="30" fillId="12" borderId="11" xfId="0" applyFont="1" applyFill="1" applyBorder="1" applyAlignment="1">
      <alignment horizontal="center" wrapText="1"/>
    </xf>
    <xf numFmtId="0" fontId="30" fillId="12" borderId="70" xfId="0" applyFont="1" applyFill="1" applyBorder="1" applyAlignment="1">
      <alignment horizontal="center" wrapText="1"/>
    </xf>
    <xf numFmtId="0" fontId="30" fillId="12" borderId="47" xfId="0" applyFont="1" applyFill="1" applyBorder="1" applyAlignment="1">
      <alignment horizontal="center" wrapText="1"/>
    </xf>
    <xf numFmtId="0" fontId="30" fillId="12" borderId="71" xfId="0" applyFont="1" applyFill="1" applyBorder="1" applyAlignment="1">
      <alignment horizontal="center"/>
    </xf>
    <xf numFmtId="0" fontId="30" fillId="12" borderId="72" xfId="0" applyFont="1" applyFill="1" applyBorder="1" applyAlignment="1">
      <alignment horizontal="center"/>
    </xf>
    <xf numFmtId="0" fontId="30" fillId="12" borderId="62" xfId="0" applyFont="1" applyFill="1" applyBorder="1" applyAlignment="1">
      <alignment horizontal="center"/>
    </xf>
    <xf numFmtId="0" fontId="3" fillId="6" borderId="4" xfId="0" applyFont="1" applyFill="1" applyBorder="1" applyAlignment="1">
      <alignment horizontal="center" vertical="center" wrapText="1"/>
    </xf>
    <xf numFmtId="0" fontId="3" fillId="6" borderId="42" xfId="0" applyFont="1" applyFill="1" applyBorder="1" applyAlignment="1">
      <alignment horizontal="center" vertical="center" wrapText="1"/>
    </xf>
    <xf numFmtId="0" fontId="3" fillId="6" borderId="41" xfId="0" applyFont="1" applyFill="1" applyBorder="1" applyAlignment="1">
      <alignment horizontal="center" vertical="center" wrapText="1"/>
    </xf>
    <xf numFmtId="0" fontId="32" fillId="11" borderId="4" xfId="0" applyFont="1" applyFill="1" applyBorder="1" applyAlignment="1">
      <alignment horizontal="center"/>
    </xf>
    <xf numFmtId="0" fontId="32" fillId="11" borderId="42" xfId="0" applyFont="1" applyFill="1" applyBorder="1" applyAlignment="1">
      <alignment horizontal="center"/>
    </xf>
    <xf numFmtId="0" fontId="3" fillId="6" borderId="0" xfId="0" applyFont="1" applyFill="1" applyAlignment="1">
      <alignment horizontal="center"/>
    </xf>
    <xf numFmtId="0" fontId="4" fillId="6" borderId="0" xfId="0" applyFont="1" applyFill="1" applyAlignment="1">
      <alignment horizontal="left" vertical="center" wrapText="1"/>
    </xf>
    <xf numFmtId="0" fontId="4" fillId="6" borderId="60" xfId="0" applyFont="1" applyFill="1" applyBorder="1" applyAlignment="1">
      <alignment horizontal="left" vertical="center" wrapText="1"/>
    </xf>
    <xf numFmtId="0" fontId="4" fillId="6" borderId="0" xfId="0" applyFont="1" applyFill="1" applyAlignment="1">
      <alignment horizontal="left"/>
    </xf>
    <xf numFmtId="0" fontId="30" fillId="11" borderId="4" xfId="0" applyFont="1" applyFill="1" applyBorder="1" applyAlignment="1">
      <alignment horizontal="center"/>
    </xf>
    <xf numFmtId="0" fontId="30" fillId="11" borderId="42" xfId="0" applyFont="1" applyFill="1" applyBorder="1" applyAlignment="1">
      <alignment horizontal="center"/>
    </xf>
  </cellXfs>
  <cellStyles count="5">
    <cellStyle name="40% - Accent3" xfId="4" builtinId="39"/>
    <cellStyle name="Calculation" xfId="2" builtinId="22"/>
    <cellStyle name="Input" xfId="1" builtinId="20"/>
    <cellStyle name="Normal" xfId="0" builtinId="0"/>
    <cellStyle name="Normal 2" xfId="3" xr:uid="{00000000-0005-0000-0000-000003000000}"/>
  </cellStyles>
  <dxfs count="3">
    <dxf>
      <font>
        <b/>
        <i val="0"/>
        <color rgb="FFFF0000"/>
      </font>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590550</xdr:colOff>
      <xdr:row>35</xdr:row>
      <xdr:rowOff>185399</xdr:rowOff>
    </xdr:from>
    <xdr:to>
      <xdr:col>1</xdr:col>
      <xdr:colOff>6705600</xdr:colOff>
      <xdr:row>48</xdr:row>
      <xdr:rowOff>66675</xdr:rowOff>
    </xdr:to>
    <xdr:pic>
      <xdr:nvPicPr>
        <xdr:cNvPr id="6" name="Picture 4">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90550" y="4604999"/>
          <a:ext cx="6724650" cy="2014876"/>
        </a:xfrm>
        <a:prstGeom prst="rect">
          <a:avLst/>
        </a:prstGeom>
        <a:noFill/>
      </xdr:spPr>
    </xdr:pic>
    <xdr:clientData/>
  </xdr:twoCellAnchor>
  <xdr:twoCellAnchor editAs="oneCell">
    <xdr:from>
      <xdr:col>1</xdr:col>
      <xdr:colOff>38100</xdr:colOff>
      <xdr:row>6</xdr:row>
      <xdr:rowOff>123825</xdr:rowOff>
    </xdr:from>
    <xdr:to>
      <xdr:col>1</xdr:col>
      <xdr:colOff>5123814</xdr:colOff>
      <xdr:row>8</xdr:row>
      <xdr:rowOff>19015</xdr:rowOff>
    </xdr:to>
    <xdr:pic>
      <xdr:nvPicPr>
        <xdr:cNvPr id="3" name="Picture 2">
          <a:extLst>
            <a:ext uri="{FF2B5EF4-FFF2-40B4-BE49-F238E27FC236}">
              <a16:creationId xmlns:a16="http://schemas.microsoft.com/office/drawing/2014/main" id="{1AB9A1F9-17BF-41A6-98B7-806067EF4A2C}"/>
            </a:ext>
          </a:extLst>
        </xdr:cNvPr>
        <xdr:cNvPicPr>
          <a:picLocks noChangeAspect="1"/>
        </xdr:cNvPicPr>
      </xdr:nvPicPr>
      <xdr:blipFill>
        <a:blip xmlns:r="http://schemas.openxmlformats.org/officeDocument/2006/relationships" r:embed="rId2"/>
        <a:stretch>
          <a:fillRect/>
        </a:stretch>
      </xdr:blipFill>
      <xdr:spPr>
        <a:xfrm>
          <a:off x="647700" y="1266825"/>
          <a:ext cx="5085714" cy="276190"/>
        </a:xfrm>
        <a:prstGeom prst="rect">
          <a:avLst/>
        </a:prstGeom>
      </xdr:spPr>
    </xdr:pic>
    <xdr:clientData/>
  </xdr:twoCellAnchor>
  <xdr:twoCellAnchor editAs="oneCell">
    <xdr:from>
      <xdr:col>1</xdr:col>
      <xdr:colOff>28575</xdr:colOff>
      <xdr:row>10</xdr:row>
      <xdr:rowOff>28574</xdr:rowOff>
    </xdr:from>
    <xdr:to>
      <xdr:col>1</xdr:col>
      <xdr:colOff>2569653</xdr:colOff>
      <xdr:row>23</xdr:row>
      <xdr:rowOff>66674</xdr:rowOff>
    </xdr:to>
    <xdr:pic>
      <xdr:nvPicPr>
        <xdr:cNvPr id="10" name="Picture 9">
          <a:extLst>
            <a:ext uri="{FF2B5EF4-FFF2-40B4-BE49-F238E27FC236}">
              <a16:creationId xmlns:a16="http://schemas.microsoft.com/office/drawing/2014/main" id="{1909F202-76C0-4775-8988-C68453A29DA7}"/>
            </a:ext>
          </a:extLst>
        </xdr:cNvPr>
        <xdr:cNvPicPr>
          <a:picLocks noChangeAspect="1"/>
        </xdr:cNvPicPr>
      </xdr:nvPicPr>
      <xdr:blipFill>
        <a:blip xmlns:r="http://schemas.openxmlformats.org/officeDocument/2006/relationships" r:embed="rId3"/>
        <a:stretch>
          <a:fillRect/>
        </a:stretch>
      </xdr:blipFill>
      <xdr:spPr>
        <a:xfrm>
          <a:off x="638175" y="1933574"/>
          <a:ext cx="2541078" cy="2200275"/>
        </a:xfrm>
        <a:prstGeom prst="rect">
          <a:avLst/>
        </a:prstGeom>
      </xdr:spPr>
    </xdr:pic>
    <xdr:clientData/>
  </xdr:twoCellAnchor>
  <xdr:twoCellAnchor editAs="oneCell">
    <xdr:from>
      <xdr:col>1</xdr:col>
      <xdr:colOff>1</xdr:colOff>
      <xdr:row>25</xdr:row>
      <xdr:rowOff>38100</xdr:rowOff>
    </xdr:from>
    <xdr:to>
      <xdr:col>1</xdr:col>
      <xdr:colOff>6591301</xdr:colOff>
      <xdr:row>34</xdr:row>
      <xdr:rowOff>50682</xdr:rowOff>
    </xdr:to>
    <xdr:pic>
      <xdr:nvPicPr>
        <xdr:cNvPr id="12" name="Picture 11">
          <a:extLst>
            <a:ext uri="{FF2B5EF4-FFF2-40B4-BE49-F238E27FC236}">
              <a16:creationId xmlns:a16="http://schemas.microsoft.com/office/drawing/2014/main" id="{D59C8499-079E-4815-8445-ACA2398A6D61}"/>
            </a:ext>
          </a:extLst>
        </xdr:cNvPr>
        <xdr:cNvPicPr>
          <a:picLocks noChangeAspect="1"/>
        </xdr:cNvPicPr>
      </xdr:nvPicPr>
      <xdr:blipFill>
        <a:blip xmlns:r="http://schemas.openxmlformats.org/officeDocument/2006/relationships" r:embed="rId4"/>
        <a:stretch>
          <a:fillRect/>
        </a:stretch>
      </xdr:blipFill>
      <xdr:spPr>
        <a:xfrm>
          <a:off x="609601" y="4457700"/>
          <a:ext cx="6591300" cy="1469907"/>
        </a:xfrm>
        <a:prstGeom prst="rect">
          <a:avLst/>
        </a:prstGeom>
      </xdr:spPr>
    </xdr:pic>
    <xdr:clientData/>
  </xdr:twoCellAnchor>
  <xdr:twoCellAnchor editAs="oneCell">
    <xdr:from>
      <xdr:col>1</xdr:col>
      <xdr:colOff>19050</xdr:colOff>
      <xdr:row>50</xdr:row>
      <xdr:rowOff>57150</xdr:rowOff>
    </xdr:from>
    <xdr:to>
      <xdr:col>1</xdr:col>
      <xdr:colOff>5085717</xdr:colOff>
      <xdr:row>51</xdr:row>
      <xdr:rowOff>152364</xdr:rowOff>
    </xdr:to>
    <xdr:pic>
      <xdr:nvPicPr>
        <xdr:cNvPr id="13" name="Picture 12">
          <a:extLst>
            <a:ext uri="{FF2B5EF4-FFF2-40B4-BE49-F238E27FC236}">
              <a16:creationId xmlns:a16="http://schemas.microsoft.com/office/drawing/2014/main" id="{BDD0AF4F-13E2-40FC-BC01-009DD5F9FCCD}"/>
            </a:ext>
          </a:extLst>
        </xdr:cNvPr>
        <xdr:cNvPicPr>
          <a:picLocks noChangeAspect="1"/>
        </xdr:cNvPicPr>
      </xdr:nvPicPr>
      <xdr:blipFill>
        <a:blip xmlns:r="http://schemas.openxmlformats.org/officeDocument/2006/relationships" r:embed="rId5"/>
        <a:stretch>
          <a:fillRect/>
        </a:stretch>
      </xdr:blipFill>
      <xdr:spPr>
        <a:xfrm>
          <a:off x="628650" y="9182100"/>
          <a:ext cx="5066667" cy="285714"/>
        </a:xfrm>
        <a:prstGeom prst="rect">
          <a:avLst/>
        </a:prstGeom>
      </xdr:spPr>
    </xdr:pic>
    <xdr:clientData/>
  </xdr:twoCellAnchor>
  <xdr:twoCellAnchor editAs="oneCell">
    <xdr:from>
      <xdr:col>1</xdr:col>
      <xdr:colOff>2000250</xdr:colOff>
      <xdr:row>62</xdr:row>
      <xdr:rowOff>95250</xdr:rowOff>
    </xdr:from>
    <xdr:to>
      <xdr:col>1</xdr:col>
      <xdr:colOff>3162155</xdr:colOff>
      <xdr:row>71</xdr:row>
      <xdr:rowOff>28405</xdr:rowOff>
    </xdr:to>
    <xdr:pic>
      <xdr:nvPicPr>
        <xdr:cNvPr id="7" name="Picture 6">
          <a:extLst>
            <a:ext uri="{FF2B5EF4-FFF2-40B4-BE49-F238E27FC236}">
              <a16:creationId xmlns:a16="http://schemas.microsoft.com/office/drawing/2014/main" id="{94F67E00-539D-4428-AA79-677812808A5C}"/>
            </a:ext>
          </a:extLst>
        </xdr:cNvPr>
        <xdr:cNvPicPr>
          <a:picLocks noChangeAspect="1"/>
        </xdr:cNvPicPr>
      </xdr:nvPicPr>
      <xdr:blipFill>
        <a:blip xmlns:r="http://schemas.openxmlformats.org/officeDocument/2006/relationships" r:embed="rId6"/>
        <a:stretch>
          <a:fillRect/>
        </a:stretch>
      </xdr:blipFill>
      <xdr:spPr>
        <a:xfrm>
          <a:off x="2609850" y="13230225"/>
          <a:ext cx="1161905" cy="139048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7694/MikeData/ApplicationProcessors/MX8_series/MX8Mscale_specific/DDR_Controller/register_programming_aid/MX8M_LPDDR4_register_programming_aid_EVK_preliminiary_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w To Use"/>
      <sheetName val="Revision History"/>
      <sheetName val="Register Configuration"/>
      <sheetName val="BoardDataBusConfig"/>
      <sheetName val="DDR stress test file"/>
    </sheetNames>
    <sheetDataSet>
      <sheetData sheetId="0" refreshError="1"/>
      <sheetData sheetId="1" refreshError="1"/>
      <sheetData sheetId="2">
        <row r="9">
          <cell r="AA9" t="str">
            <v>ENABLED</v>
          </cell>
        </row>
        <row r="10">
          <cell r="AA10" t="str">
            <v>DISABLED</v>
          </cell>
        </row>
      </sheetData>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2"/>
  <sheetViews>
    <sheetView workbookViewId="0"/>
  </sheetViews>
  <sheetFormatPr defaultRowHeight="12.75"/>
  <cols>
    <col min="2" max="2" width="103.85546875" customWidth="1"/>
  </cols>
  <sheetData>
    <row r="1" spans="1:7" ht="15">
      <c r="A1" s="8"/>
      <c r="B1" s="137"/>
      <c r="C1" s="8"/>
      <c r="D1" s="8"/>
      <c r="E1" s="8"/>
      <c r="F1" s="8"/>
      <c r="G1" s="8"/>
    </row>
    <row r="2" spans="1:7" ht="15">
      <c r="A2" s="8"/>
      <c r="B2" s="51" t="s">
        <v>29</v>
      </c>
      <c r="C2" s="28"/>
      <c r="D2" s="28"/>
      <c r="E2" s="8"/>
      <c r="F2" s="8"/>
      <c r="G2" s="8"/>
    </row>
    <row r="3" spans="1:7" ht="15">
      <c r="A3" s="8"/>
      <c r="B3" s="51"/>
      <c r="C3" s="28"/>
      <c r="D3" s="28"/>
      <c r="E3" s="8"/>
      <c r="F3" s="8"/>
      <c r="G3" s="8"/>
    </row>
    <row r="4" spans="1:7" ht="15">
      <c r="A4" s="8"/>
      <c r="B4" s="51" t="s">
        <v>30</v>
      </c>
      <c r="C4" s="28"/>
      <c r="D4" s="28"/>
      <c r="E4" s="8"/>
      <c r="F4" s="8"/>
      <c r="G4" s="8"/>
    </row>
    <row r="5" spans="1:7" ht="15">
      <c r="A5" s="8"/>
      <c r="B5" s="51"/>
      <c r="C5" s="28"/>
      <c r="D5" s="28"/>
      <c r="E5" s="8"/>
      <c r="F5" s="8"/>
      <c r="G5" s="8"/>
    </row>
    <row r="6" spans="1:7" ht="15">
      <c r="A6" s="8"/>
      <c r="B6" s="51" t="s">
        <v>182</v>
      </c>
      <c r="C6" s="28"/>
      <c r="D6" s="28"/>
      <c r="E6" s="8"/>
      <c r="F6" s="8"/>
      <c r="G6" s="8"/>
    </row>
    <row r="7" spans="1:7" ht="15">
      <c r="A7" s="8"/>
      <c r="B7" s="51"/>
      <c r="C7" s="28"/>
      <c r="D7" s="28"/>
      <c r="E7" s="8"/>
      <c r="F7" s="8"/>
      <c r="G7" s="8"/>
    </row>
    <row r="8" spans="1:7" ht="15">
      <c r="A8" s="8"/>
      <c r="B8" s="51"/>
      <c r="C8" s="28"/>
      <c r="D8" s="28"/>
      <c r="E8" s="8"/>
      <c r="F8" s="8"/>
      <c r="G8" s="8"/>
    </row>
    <row r="9" spans="1:7" ht="15">
      <c r="A9" s="8"/>
      <c r="B9" s="51"/>
      <c r="C9" s="28"/>
      <c r="D9" s="28"/>
      <c r="E9" s="8"/>
      <c r="F9" s="8"/>
      <c r="G9" s="8"/>
    </row>
    <row r="10" spans="1:7" ht="15">
      <c r="A10" s="8"/>
      <c r="B10" s="51" t="s">
        <v>1192</v>
      </c>
      <c r="C10" s="28"/>
      <c r="D10" s="28"/>
      <c r="E10" s="8"/>
      <c r="F10" s="8"/>
      <c r="G10" s="8"/>
    </row>
    <row r="11" spans="1:7" ht="15">
      <c r="A11" s="8"/>
      <c r="B11" s="51"/>
      <c r="C11" s="28"/>
      <c r="D11" s="28"/>
      <c r="E11" s="8"/>
      <c r="F11" s="8"/>
      <c r="G11" s="8"/>
    </row>
    <row r="12" spans="1:7" ht="15">
      <c r="A12" s="8"/>
      <c r="B12" s="51"/>
      <c r="C12" s="28"/>
      <c r="D12" s="28"/>
      <c r="E12" s="8"/>
      <c r="F12" s="8"/>
      <c r="G12" s="8"/>
    </row>
    <row r="13" spans="1:7">
      <c r="A13" s="8"/>
      <c r="B13" s="8"/>
      <c r="C13" s="28"/>
      <c r="D13" s="28"/>
      <c r="E13" s="8"/>
      <c r="F13" s="8"/>
      <c r="G13" s="8"/>
    </row>
    <row r="14" spans="1:7">
      <c r="A14" s="8"/>
      <c r="B14" s="8"/>
      <c r="C14" s="28"/>
      <c r="D14" s="28"/>
      <c r="E14" s="8"/>
      <c r="F14" s="8"/>
      <c r="G14" s="8"/>
    </row>
    <row r="15" spans="1:7">
      <c r="A15" s="8"/>
      <c r="B15" s="8"/>
      <c r="C15" s="28"/>
      <c r="D15" s="28"/>
      <c r="E15" s="8"/>
      <c r="F15" s="8"/>
      <c r="G15" s="8"/>
    </row>
    <row r="16" spans="1:7">
      <c r="A16" s="8"/>
      <c r="B16" s="8"/>
      <c r="C16" s="28"/>
      <c r="D16" s="28"/>
      <c r="E16" s="8"/>
      <c r="F16" s="8"/>
      <c r="G16" s="8"/>
    </row>
    <row r="17" spans="1:7">
      <c r="A17" s="8"/>
      <c r="B17" s="8"/>
      <c r="C17" s="28"/>
      <c r="D17" s="28"/>
      <c r="E17" s="8"/>
      <c r="F17" s="8"/>
      <c r="G17" s="8"/>
    </row>
    <row r="18" spans="1:7">
      <c r="A18" s="8"/>
      <c r="B18" s="8"/>
      <c r="C18" s="28"/>
      <c r="D18" s="28"/>
      <c r="E18" s="8"/>
      <c r="F18" s="8"/>
      <c r="G18" s="8"/>
    </row>
    <row r="19" spans="1:7">
      <c r="A19" s="8"/>
      <c r="B19" s="8"/>
      <c r="C19" s="28"/>
      <c r="D19" s="28"/>
      <c r="E19" s="8"/>
      <c r="F19" s="8"/>
      <c r="G19" s="8"/>
    </row>
    <row r="20" spans="1:7">
      <c r="A20" s="8"/>
      <c r="B20" s="8"/>
      <c r="C20" s="28"/>
      <c r="D20" s="28"/>
      <c r="E20" s="8"/>
      <c r="F20" s="8"/>
      <c r="G20" s="8"/>
    </row>
    <row r="21" spans="1:7">
      <c r="A21" s="8"/>
      <c r="B21" s="8"/>
      <c r="C21" s="28"/>
      <c r="D21" s="28"/>
      <c r="E21" s="8"/>
      <c r="F21" s="8"/>
      <c r="G21" s="8"/>
    </row>
    <row r="22" spans="1:7">
      <c r="A22" s="8"/>
      <c r="B22" s="8"/>
      <c r="C22" s="28"/>
      <c r="D22" s="28"/>
      <c r="E22" s="8"/>
      <c r="F22" s="8"/>
      <c r="G22" s="8"/>
    </row>
    <row r="23" spans="1:7">
      <c r="A23" s="8"/>
      <c r="C23" s="28"/>
      <c r="D23" s="28"/>
      <c r="E23" s="8"/>
      <c r="F23" s="8"/>
      <c r="G23" s="8"/>
    </row>
    <row r="24" spans="1:7">
      <c r="A24" s="8"/>
      <c r="B24" s="8"/>
      <c r="C24" s="28"/>
      <c r="D24" s="28"/>
      <c r="E24" s="8"/>
      <c r="F24" s="8"/>
      <c r="G24" s="8"/>
    </row>
    <row r="25" spans="1:7" ht="15">
      <c r="A25" s="8"/>
      <c r="B25" s="51" t="s">
        <v>1190</v>
      </c>
      <c r="C25" s="28"/>
      <c r="D25" s="28"/>
      <c r="E25" s="8"/>
      <c r="F25" s="8"/>
      <c r="G25" s="8"/>
    </row>
    <row r="26" spans="1:7">
      <c r="A26" s="8"/>
      <c r="B26" s="8"/>
      <c r="C26" s="28"/>
      <c r="D26" s="28"/>
      <c r="E26" s="8"/>
      <c r="F26" s="8"/>
      <c r="G26" s="8"/>
    </row>
    <row r="27" spans="1:7">
      <c r="A27" s="8"/>
      <c r="B27" s="8"/>
      <c r="C27" s="28"/>
      <c r="D27" s="28"/>
      <c r="E27" s="8"/>
      <c r="F27" s="8"/>
      <c r="G27" s="8"/>
    </row>
    <row r="28" spans="1:7">
      <c r="A28" s="8"/>
      <c r="B28" s="8"/>
      <c r="C28" s="28"/>
      <c r="D28" s="28"/>
      <c r="E28" s="8"/>
      <c r="F28" s="8"/>
      <c r="G28" s="8"/>
    </row>
    <row r="29" spans="1:7">
      <c r="A29" s="8"/>
      <c r="B29" s="8"/>
      <c r="C29" s="28"/>
      <c r="D29" s="28"/>
      <c r="E29" s="8"/>
      <c r="F29" s="8"/>
      <c r="G29" s="8"/>
    </row>
    <row r="30" spans="1:7">
      <c r="A30" s="8"/>
      <c r="B30" s="8"/>
      <c r="C30" s="28"/>
      <c r="D30" s="28"/>
      <c r="E30" s="8"/>
      <c r="F30" s="8"/>
      <c r="G30" s="8"/>
    </row>
    <row r="31" spans="1:7">
      <c r="A31" s="8"/>
      <c r="B31" s="8"/>
      <c r="C31" s="28"/>
      <c r="D31" s="28"/>
      <c r="E31" s="8"/>
      <c r="F31" s="8"/>
      <c r="G31" s="8"/>
    </row>
    <row r="32" spans="1:7">
      <c r="A32" s="8"/>
      <c r="B32" s="8"/>
      <c r="C32" s="28"/>
      <c r="D32" s="28"/>
      <c r="E32" s="8"/>
      <c r="F32" s="8"/>
      <c r="G32" s="8"/>
    </row>
    <row r="33" spans="1:7">
      <c r="A33" s="8"/>
      <c r="B33" s="8"/>
      <c r="C33" s="28"/>
      <c r="D33" s="28"/>
      <c r="E33" s="8"/>
      <c r="F33" s="8"/>
      <c r="G33" s="8"/>
    </row>
    <row r="34" spans="1:7">
      <c r="A34" s="8"/>
      <c r="B34" s="8"/>
      <c r="C34" s="28"/>
      <c r="D34" s="28"/>
      <c r="E34" s="8"/>
      <c r="F34" s="8"/>
      <c r="G34" s="8"/>
    </row>
    <row r="35" spans="1:7" ht="45">
      <c r="A35" s="8"/>
      <c r="B35" s="51" t="s">
        <v>31</v>
      </c>
      <c r="C35" s="8"/>
      <c r="D35" s="8"/>
      <c r="E35" s="8"/>
      <c r="F35" s="8"/>
      <c r="G35" s="8"/>
    </row>
    <row r="36" spans="1:7" ht="15">
      <c r="A36" s="8"/>
      <c r="B36" s="51"/>
      <c r="C36" s="8"/>
      <c r="D36" s="8"/>
      <c r="E36" s="8"/>
      <c r="F36" s="8"/>
      <c r="G36" s="8"/>
    </row>
    <row r="37" spans="1:7">
      <c r="A37" s="8"/>
      <c r="B37" s="8"/>
      <c r="C37" s="8"/>
      <c r="D37" s="8"/>
      <c r="E37" s="8"/>
      <c r="F37" s="8"/>
      <c r="G37" s="8"/>
    </row>
    <row r="38" spans="1:7">
      <c r="A38" s="8"/>
      <c r="B38" s="8"/>
      <c r="C38" s="8"/>
      <c r="D38" s="8"/>
      <c r="E38" s="8"/>
      <c r="F38" s="8"/>
      <c r="G38" s="8"/>
    </row>
    <row r="39" spans="1:7">
      <c r="A39" s="8"/>
      <c r="B39" s="8"/>
      <c r="C39" s="8"/>
      <c r="D39" s="8"/>
      <c r="E39" s="8"/>
      <c r="F39" s="8"/>
      <c r="G39" s="8"/>
    </row>
    <row r="40" spans="1:7">
      <c r="A40" s="8"/>
      <c r="B40" s="8"/>
      <c r="C40" s="8"/>
      <c r="D40" s="8"/>
      <c r="E40" s="8"/>
      <c r="F40" s="8"/>
      <c r="G40" s="8"/>
    </row>
    <row r="41" spans="1:7">
      <c r="A41" s="8"/>
      <c r="B41" s="8"/>
      <c r="C41" s="8"/>
      <c r="D41" s="8"/>
      <c r="E41" s="8"/>
      <c r="F41" s="8"/>
      <c r="G41" s="8"/>
    </row>
    <row r="42" spans="1:7">
      <c r="A42" s="8"/>
      <c r="B42" s="8"/>
      <c r="C42" s="8"/>
      <c r="D42" s="8"/>
      <c r="E42" s="8"/>
      <c r="F42" s="8"/>
      <c r="G42" s="8"/>
    </row>
    <row r="43" spans="1:7">
      <c r="A43" s="8"/>
      <c r="B43" s="8"/>
      <c r="C43" s="8"/>
      <c r="D43" s="8"/>
      <c r="E43" s="8"/>
      <c r="F43" s="8"/>
      <c r="G43" s="8"/>
    </row>
    <row r="44" spans="1:7">
      <c r="A44" s="8"/>
      <c r="B44" s="8"/>
      <c r="C44" s="8"/>
      <c r="D44" s="8"/>
      <c r="E44" s="8"/>
      <c r="F44" s="8"/>
      <c r="G44" s="8"/>
    </row>
    <row r="45" spans="1:7">
      <c r="A45" s="8"/>
      <c r="B45" s="8"/>
      <c r="C45" s="8"/>
      <c r="D45" s="8"/>
      <c r="E45" s="8"/>
      <c r="F45" s="8"/>
      <c r="G45" s="8"/>
    </row>
    <row r="46" spans="1:7">
      <c r="A46" s="8"/>
      <c r="B46" s="8"/>
      <c r="C46" s="8"/>
      <c r="D46" s="8"/>
      <c r="E46" s="8"/>
      <c r="F46" s="8"/>
      <c r="G46" s="8"/>
    </row>
    <row r="47" spans="1:7">
      <c r="A47" s="8"/>
      <c r="B47" s="8"/>
      <c r="C47" s="8"/>
      <c r="D47" s="8"/>
      <c r="E47" s="8"/>
      <c r="F47" s="8"/>
      <c r="G47" s="8"/>
    </row>
    <row r="48" spans="1:7">
      <c r="A48" s="8"/>
      <c r="B48" s="8"/>
      <c r="C48" s="8"/>
      <c r="D48" s="8"/>
      <c r="E48" s="8"/>
      <c r="F48" s="8"/>
      <c r="G48" s="8"/>
    </row>
    <row r="49" spans="1:7">
      <c r="A49" s="8"/>
      <c r="B49" s="8"/>
      <c r="C49" s="8"/>
      <c r="D49" s="8"/>
      <c r="E49" s="8"/>
      <c r="F49" s="8"/>
      <c r="G49" s="8"/>
    </row>
    <row r="50" spans="1:7" ht="30">
      <c r="A50" s="8"/>
      <c r="B50" s="51" t="s">
        <v>1191</v>
      </c>
      <c r="C50" s="8"/>
      <c r="D50" s="8"/>
      <c r="E50" s="8"/>
      <c r="F50" s="8"/>
      <c r="G50" s="8"/>
    </row>
    <row r="51" spans="1:7" ht="15">
      <c r="A51" s="8"/>
      <c r="B51" s="51"/>
      <c r="C51" s="8"/>
      <c r="D51" s="8"/>
      <c r="E51" s="8"/>
      <c r="F51" s="8"/>
      <c r="G51" s="8"/>
    </row>
    <row r="52" spans="1:7" ht="15">
      <c r="A52" s="8"/>
      <c r="B52" s="51"/>
      <c r="C52" s="8"/>
      <c r="D52" s="8"/>
      <c r="E52" s="8"/>
      <c r="F52" s="8"/>
      <c r="G52" s="8"/>
    </row>
    <row r="53" spans="1:7" ht="45">
      <c r="A53" s="8"/>
      <c r="B53" s="51" t="s">
        <v>1193</v>
      </c>
      <c r="C53" s="8"/>
      <c r="D53" s="8"/>
      <c r="E53" s="8"/>
      <c r="F53" s="8"/>
      <c r="G53" s="8"/>
    </row>
    <row r="54" spans="1:7" ht="15">
      <c r="A54" s="8"/>
      <c r="B54" s="51"/>
      <c r="C54" s="8"/>
      <c r="D54" s="8"/>
      <c r="E54" s="8"/>
      <c r="F54" s="8"/>
      <c r="G54" s="8"/>
    </row>
    <row r="55" spans="1:7" ht="15">
      <c r="A55" s="8"/>
      <c r="B55" s="51"/>
      <c r="C55" s="8"/>
      <c r="D55" s="8"/>
      <c r="E55" s="8"/>
      <c r="F55" s="8"/>
      <c r="G55" s="8"/>
    </row>
    <row r="56" spans="1:7" ht="13.5">
      <c r="A56" s="8"/>
      <c r="B56" s="506" t="s">
        <v>401</v>
      </c>
      <c r="C56" s="8"/>
      <c r="D56" s="8"/>
      <c r="E56" s="8"/>
      <c r="F56" s="8"/>
      <c r="G56" s="8"/>
    </row>
    <row r="57" spans="1:7" ht="13.5">
      <c r="A57" s="8"/>
      <c r="B57" s="506" t="s">
        <v>402</v>
      </c>
      <c r="C57" s="8"/>
      <c r="D57" s="8"/>
      <c r="E57" s="8"/>
      <c r="F57" s="8"/>
      <c r="G57" s="8"/>
    </row>
    <row r="58" spans="1:7" ht="13.5">
      <c r="A58" s="8"/>
      <c r="B58" s="506" t="s">
        <v>403</v>
      </c>
      <c r="C58" s="8"/>
      <c r="D58" s="8"/>
      <c r="E58" s="8"/>
      <c r="F58" s="8"/>
      <c r="G58" s="8"/>
    </row>
    <row r="59" spans="1:7" ht="13.5">
      <c r="A59" s="8"/>
      <c r="B59" s="506" t="s">
        <v>404</v>
      </c>
      <c r="C59" s="8"/>
      <c r="D59" s="8"/>
      <c r="E59" s="8"/>
      <c r="F59" s="8"/>
      <c r="G59" s="8"/>
    </row>
    <row r="60" spans="1:7" ht="13.5">
      <c r="A60" s="8"/>
      <c r="B60" s="506" t="s">
        <v>405</v>
      </c>
      <c r="C60" s="8"/>
      <c r="D60" s="8"/>
      <c r="E60" s="8"/>
      <c r="F60" s="8"/>
      <c r="G60" s="8"/>
    </row>
    <row r="61" spans="1:7">
      <c r="A61" s="8"/>
      <c r="B61" s="8"/>
      <c r="C61" s="8"/>
      <c r="D61" s="8"/>
      <c r="E61" s="8"/>
      <c r="F61" s="8"/>
      <c r="G61" s="8"/>
    </row>
    <row r="62" spans="1:7" ht="75">
      <c r="A62" s="8"/>
      <c r="B62" s="51" t="s">
        <v>1232</v>
      </c>
      <c r="C62" s="8"/>
      <c r="D62" s="8"/>
      <c r="E62" s="8"/>
      <c r="F62" s="8"/>
      <c r="G62" s="8"/>
    </row>
    <row r="63" spans="1:7" ht="15">
      <c r="A63" s="8"/>
      <c r="B63" s="505"/>
      <c r="C63" s="8"/>
      <c r="D63" s="8"/>
      <c r="E63" s="8"/>
      <c r="F63" s="8"/>
      <c r="G63" s="8"/>
    </row>
    <row r="64" spans="1:7">
      <c r="A64" s="8"/>
      <c r="B64" s="25"/>
      <c r="C64" s="8"/>
      <c r="D64" s="8"/>
      <c r="E64" s="8"/>
      <c r="F64" s="8"/>
      <c r="G64" s="8"/>
    </row>
    <row r="65" spans="1:7">
      <c r="A65" s="8"/>
      <c r="B65" s="8"/>
      <c r="C65" s="8"/>
      <c r="D65" s="8"/>
      <c r="E65" s="8"/>
      <c r="F65" s="8"/>
      <c r="G65" s="8"/>
    </row>
    <row r="66" spans="1:7">
      <c r="A66" s="8"/>
      <c r="B66" s="8"/>
      <c r="C66" s="8"/>
      <c r="D66" s="8"/>
      <c r="E66" s="8"/>
      <c r="F66" s="8"/>
      <c r="G66" s="8"/>
    </row>
    <row r="67" spans="1:7">
      <c r="A67" s="8"/>
      <c r="B67" s="8"/>
      <c r="C67" s="8"/>
      <c r="D67" s="8"/>
      <c r="E67" s="8"/>
      <c r="F67" s="8"/>
      <c r="G67" s="8"/>
    </row>
    <row r="68" spans="1:7">
      <c r="A68" s="8"/>
      <c r="B68" s="8"/>
      <c r="C68" s="8"/>
      <c r="D68" s="8"/>
      <c r="E68" s="8"/>
      <c r="F68" s="8"/>
      <c r="G68" s="8"/>
    </row>
    <row r="69" spans="1:7">
      <c r="A69" s="8"/>
      <c r="B69" s="8"/>
      <c r="C69" s="8"/>
      <c r="D69" s="8"/>
      <c r="E69" s="8"/>
      <c r="F69" s="8"/>
      <c r="G69" s="8"/>
    </row>
    <row r="70" spans="1:7">
      <c r="A70" s="8"/>
      <c r="B70" s="8"/>
      <c r="C70" s="8"/>
      <c r="D70" s="8"/>
      <c r="E70" s="8"/>
      <c r="F70" s="8"/>
      <c r="G70" s="8"/>
    </row>
    <row r="71" spans="1:7">
      <c r="A71" s="8"/>
      <c r="B71" s="8"/>
      <c r="C71" s="8"/>
      <c r="D71" s="8"/>
      <c r="E71" s="8"/>
      <c r="F71" s="8"/>
      <c r="G71" s="8"/>
    </row>
    <row r="72" spans="1:7">
      <c r="A72" s="8"/>
      <c r="B72" s="8"/>
      <c r="C72" s="8"/>
      <c r="D72" s="8"/>
      <c r="E72" s="8"/>
      <c r="F72" s="8"/>
      <c r="G72" s="8"/>
    </row>
  </sheetData>
  <phoneticPr fontId="2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6"/>
  <sheetViews>
    <sheetView workbookViewId="0">
      <selection activeCell="C9" sqref="C9"/>
    </sheetView>
  </sheetViews>
  <sheetFormatPr defaultRowHeight="12.75"/>
  <cols>
    <col min="2" max="2" width="21.5703125" customWidth="1"/>
    <col min="3" max="3" width="45.85546875" bestFit="1" customWidth="1"/>
  </cols>
  <sheetData>
    <row r="2" spans="2:9">
      <c r="B2" s="123" t="s">
        <v>180</v>
      </c>
    </row>
    <row r="3" spans="2:9" ht="81.75" customHeight="1">
      <c r="B3" s="115">
        <v>9</v>
      </c>
      <c r="C3" s="647" t="s">
        <v>1410</v>
      </c>
      <c r="I3" s="31"/>
    </row>
    <row r="6" spans="2:9" ht="15.75">
      <c r="B6" s="650" t="s">
        <v>20</v>
      </c>
      <c r="C6" s="650"/>
    </row>
    <row r="7" spans="2:9" ht="25.5" customHeight="1">
      <c r="B7" s="115" t="s">
        <v>178</v>
      </c>
      <c r="C7" s="115" t="s">
        <v>177</v>
      </c>
    </row>
    <row r="8" spans="2:9" ht="90" customHeight="1">
      <c r="B8" s="115">
        <v>9</v>
      </c>
      <c r="C8" s="647" t="s">
        <v>1412</v>
      </c>
    </row>
    <row r="9" spans="2:9" ht="42.75" customHeight="1">
      <c r="B9" s="115">
        <v>8</v>
      </c>
      <c r="C9" s="647" t="s">
        <v>1407</v>
      </c>
    </row>
    <row r="10" spans="2:9" ht="201" customHeight="1">
      <c r="B10" s="115">
        <v>7</v>
      </c>
      <c r="C10" s="647" t="s">
        <v>1408</v>
      </c>
    </row>
    <row r="11" spans="2:9" ht="207" customHeight="1">
      <c r="B11" s="115">
        <v>6</v>
      </c>
      <c r="C11" s="623" t="s">
        <v>1395</v>
      </c>
    </row>
    <row r="12" spans="2:9" ht="56.25" customHeight="1">
      <c r="B12" s="115">
        <v>5</v>
      </c>
      <c r="C12" s="642" t="s">
        <v>1390</v>
      </c>
    </row>
    <row r="13" spans="2:9" ht="63.75">
      <c r="B13" s="115">
        <v>4</v>
      </c>
      <c r="C13" s="621" t="s">
        <v>1380</v>
      </c>
    </row>
    <row r="14" spans="2:9" ht="51">
      <c r="B14" s="115">
        <v>3</v>
      </c>
      <c r="C14" s="620" t="s">
        <v>1378</v>
      </c>
    </row>
    <row r="15" spans="2:9" ht="25.5">
      <c r="B15" s="115">
        <v>2</v>
      </c>
      <c r="C15" s="619" t="s">
        <v>1377</v>
      </c>
    </row>
    <row r="16" spans="2:9">
      <c r="B16" s="115">
        <v>1</v>
      </c>
      <c r="C16" s="116" t="s">
        <v>1242</v>
      </c>
    </row>
  </sheetData>
  <mergeCells count="1">
    <mergeCell ref="B6:C6"/>
  </mergeCells>
  <phoneticPr fontId="2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698"/>
  <sheetViews>
    <sheetView showGridLines="0" tabSelected="1" zoomScale="85" zoomScaleNormal="85" workbookViewId="0">
      <selection activeCell="E27" sqref="E27"/>
    </sheetView>
  </sheetViews>
  <sheetFormatPr defaultRowHeight="12.75"/>
  <cols>
    <col min="1" max="1" width="3.42578125" style="8" customWidth="1"/>
    <col min="2" max="2" width="36.140625" customWidth="1"/>
    <col min="3" max="3" width="15.5703125" customWidth="1"/>
    <col min="4" max="4" width="19" customWidth="1"/>
    <col min="5" max="5" width="13.85546875" style="1" customWidth="1"/>
    <col min="6" max="6" width="61.42578125" customWidth="1"/>
    <col min="7" max="7" width="27.42578125" style="1" customWidth="1"/>
    <col min="8" max="8" width="15" style="1" customWidth="1"/>
    <col min="9" max="9" width="14" style="1" customWidth="1"/>
    <col min="10" max="10" width="16.42578125" customWidth="1"/>
    <col min="11" max="11" width="31.42578125" style="8" customWidth="1"/>
    <col min="12" max="12" width="16.5703125" style="8" customWidth="1"/>
    <col min="13" max="13" width="10" style="8" bestFit="1" customWidth="1"/>
    <col min="14" max="14" width="11.5703125" style="8" customWidth="1"/>
    <col min="15" max="16" width="4.5703125" style="8" customWidth="1"/>
    <col min="17" max="17" width="8.42578125" style="8" customWidth="1"/>
    <col min="18" max="21" width="4.5703125" style="8" customWidth="1"/>
    <col min="22" max="22" width="9.140625" style="8"/>
  </cols>
  <sheetData>
    <row r="1" spans="1:42" ht="15">
      <c r="B1" s="137"/>
      <c r="C1" s="8"/>
      <c r="D1" s="8"/>
      <c r="E1" s="8"/>
      <c r="F1" s="8"/>
      <c r="G1" s="45"/>
      <c r="H1" s="8"/>
      <c r="I1" s="8"/>
      <c r="J1" s="8"/>
      <c r="W1" s="8"/>
      <c r="X1" s="8"/>
      <c r="Y1" s="8"/>
      <c r="Z1" s="8"/>
      <c r="AA1" s="8"/>
      <c r="AB1" s="8"/>
      <c r="AC1" s="8"/>
      <c r="AD1" s="8"/>
      <c r="AE1" s="8"/>
      <c r="AF1" s="8"/>
      <c r="AG1" s="8"/>
      <c r="AH1" s="8"/>
      <c r="AI1" s="8"/>
      <c r="AJ1" s="8"/>
      <c r="AK1" s="8"/>
      <c r="AL1" s="8"/>
      <c r="AM1" s="8"/>
      <c r="AN1" s="8"/>
      <c r="AO1" s="8"/>
      <c r="AP1" s="8"/>
    </row>
    <row r="2" spans="1:42">
      <c r="B2" s="8"/>
      <c r="C2" s="8"/>
      <c r="D2" s="8"/>
      <c r="E2" s="8"/>
      <c r="F2" s="8"/>
      <c r="G2" s="45"/>
      <c r="H2" s="8"/>
      <c r="I2" s="8"/>
      <c r="J2" s="8"/>
      <c r="W2" s="8"/>
      <c r="X2" s="8"/>
      <c r="Y2" s="8"/>
      <c r="Z2" s="8"/>
      <c r="AA2" s="8"/>
      <c r="AB2" s="8"/>
      <c r="AC2" s="8"/>
      <c r="AD2" s="8"/>
      <c r="AE2" s="8"/>
      <c r="AF2" s="8"/>
      <c r="AG2" s="8"/>
      <c r="AH2" s="8"/>
      <c r="AI2" s="8"/>
      <c r="AJ2" s="8"/>
      <c r="AK2" s="8"/>
      <c r="AL2" s="8"/>
      <c r="AM2" s="8"/>
      <c r="AN2" s="8"/>
      <c r="AO2" s="8"/>
    </row>
    <row r="3" spans="1:42" s="10" customFormat="1" ht="35.25">
      <c r="A3" s="11"/>
      <c r="B3" s="844" t="s">
        <v>1258</v>
      </c>
      <c r="C3" s="844"/>
      <c r="D3" s="844"/>
      <c r="E3" s="844"/>
      <c r="F3" s="844"/>
      <c r="G3" s="844"/>
      <c r="H3" s="844"/>
      <c r="I3" s="844"/>
      <c r="J3" s="844"/>
      <c r="K3" s="11"/>
      <c r="L3" s="11"/>
      <c r="M3" s="11"/>
      <c r="N3" s="11"/>
      <c r="O3" s="11"/>
      <c r="P3" s="11"/>
      <c r="Q3" s="11"/>
      <c r="R3" s="11"/>
      <c r="S3" s="11"/>
      <c r="T3" s="11"/>
      <c r="U3" s="11"/>
      <c r="V3" s="11"/>
      <c r="W3" s="9"/>
      <c r="X3" s="9"/>
      <c r="Y3" s="9"/>
      <c r="Z3" s="9"/>
      <c r="AA3" s="9"/>
      <c r="AB3" s="9"/>
      <c r="AC3" s="9"/>
      <c r="AD3" s="9"/>
      <c r="AE3" s="9"/>
      <c r="AF3" s="9"/>
      <c r="AG3" s="9"/>
      <c r="AH3" s="9"/>
      <c r="AI3" s="9"/>
      <c r="AJ3" s="9"/>
      <c r="AK3" s="9"/>
      <c r="AL3" s="9"/>
      <c r="AM3" s="9"/>
      <c r="AN3" s="9"/>
    </row>
    <row r="4" spans="1:42" s="134" customFormat="1" ht="23.25">
      <c r="A4" s="133"/>
      <c r="C4" s="786" t="s">
        <v>183</v>
      </c>
      <c r="D4" s="786"/>
      <c r="E4" s="786"/>
      <c r="F4" s="786"/>
      <c r="G4" s="787" t="s">
        <v>1233</v>
      </c>
      <c r="H4" s="787"/>
      <c r="I4" s="787"/>
      <c r="J4" s="787"/>
      <c r="K4" s="133"/>
      <c r="L4" s="133"/>
      <c r="M4" s="133"/>
      <c r="N4" s="133"/>
      <c r="O4" s="133"/>
      <c r="P4" s="133"/>
      <c r="Q4" s="133"/>
      <c r="R4" s="133"/>
      <c r="S4" s="133"/>
      <c r="T4" s="133"/>
      <c r="U4" s="133"/>
      <c r="V4" s="133"/>
      <c r="W4" s="135"/>
      <c r="X4" s="135"/>
      <c r="Y4" s="135"/>
      <c r="Z4" s="135"/>
      <c r="AA4" s="3" t="s">
        <v>13</v>
      </c>
      <c r="AB4" s="135"/>
      <c r="AC4" s="8">
        <v>32</v>
      </c>
      <c r="AD4" s="268">
        <v>1200</v>
      </c>
      <c r="AE4" s="268">
        <v>16</v>
      </c>
      <c r="AF4" s="8">
        <v>1</v>
      </c>
      <c r="AG4" s="268">
        <v>16</v>
      </c>
      <c r="AH4" s="135"/>
      <c r="AI4" s="135"/>
      <c r="AJ4" s="135"/>
      <c r="AK4" s="135"/>
      <c r="AL4" s="135"/>
      <c r="AM4" s="135"/>
      <c r="AN4" s="135"/>
    </row>
    <row r="5" spans="1:42" s="8" customFormat="1" ht="24" thickBot="1">
      <c r="B5" s="801"/>
      <c r="C5" s="801"/>
      <c r="D5" s="801"/>
      <c r="E5" s="801"/>
      <c r="F5" s="801"/>
      <c r="G5" s="801"/>
      <c r="H5" s="801"/>
      <c r="I5" s="801"/>
      <c r="J5" s="801"/>
      <c r="AA5" s="3" t="s">
        <v>33</v>
      </c>
      <c r="AC5" s="8">
        <v>16</v>
      </c>
      <c r="AD5" s="8">
        <v>800</v>
      </c>
      <c r="AE5" s="25">
        <v>8</v>
      </c>
      <c r="AF5" s="8">
        <v>2</v>
      </c>
      <c r="AG5" s="25">
        <v>8</v>
      </c>
      <c r="AJ5" s="25"/>
      <c r="AN5" s="25"/>
    </row>
    <row r="6" spans="1:42" ht="15.75">
      <c r="B6" s="19" t="s">
        <v>12</v>
      </c>
      <c r="C6" s="20"/>
      <c r="D6" s="20"/>
      <c r="E6" s="21"/>
      <c r="F6" s="19" t="s">
        <v>16</v>
      </c>
      <c r="G6" s="21"/>
      <c r="H6" s="13"/>
      <c r="I6" s="13"/>
      <c r="AA6" s="3" t="s">
        <v>105</v>
      </c>
      <c r="AD6">
        <v>532</v>
      </c>
      <c r="AE6" s="3">
        <v>4</v>
      </c>
      <c r="AG6" s="3">
        <v>4</v>
      </c>
      <c r="AJ6" s="7"/>
      <c r="AK6" s="3"/>
      <c r="AN6" s="7"/>
      <c r="AO6" s="31"/>
    </row>
    <row r="7" spans="1:42" ht="12.75" customHeight="1">
      <c r="B7" s="752" t="s">
        <v>15</v>
      </c>
      <c r="C7" s="753"/>
      <c r="D7" s="753"/>
      <c r="E7" s="754"/>
      <c r="F7" s="805" t="s">
        <v>18</v>
      </c>
      <c r="G7" s="784"/>
      <c r="H7" s="13"/>
      <c r="I7" s="13"/>
      <c r="O7" s="720" t="s">
        <v>378</v>
      </c>
      <c r="P7" s="721"/>
      <c r="Q7" s="721"/>
      <c r="AA7" s="3" t="s">
        <v>187</v>
      </c>
      <c r="AG7">
        <v>2</v>
      </c>
      <c r="AJ7" s="7"/>
      <c r="AK7" s="3"/>
      <c r="AN7" s="7"/>
      <c r="AO7" s="31"/>
    </row>
    <row r="8" spans="1:42">
      <c r="B8" s="755"/>
      <c r="C8" s="753"/>
      <c r="D8" s="753"/>
      <c r="E8" s="754"/>
      <c r="F8" s="805"/>
      <c r="G8" s="785"/>
      <c r="H8" s="13"/>
      <c r="I8" s="13"/>
      <c r="N8" s="267" t="s">
        <v>311</v>
      </c>
      <c r="O8" s="235">
        <v>2</v>
      </c>
      <c r="P8" s="235">
        <v>4</v>
      </c>
      <c r="Q8" s="235">
        <v>8</v>
      </c>
      <c r="R8" s="496">
        <v>16</v>
      </c>
      <c r="AA8" s="3" t="s">
        <v>188</v>
      </c>
      <c r="AJ8" s="7"/>
      <c r="AK8" s="3"/>
      <c r="AN8" s="7"/>
      <c r="AO8" s="31"/>
    </row>
    <row r="9" spans="1:42">
      <c r="B9" s="755"/>
      <c r="C9" s="753"/>
      <c r="D9" s="753"/>
      <c r="E9" s="754"/>
      <c r="F9" s="805" t="s">
        <v>21</v>
      </c>
      <c r="G9" s="748"/>
      <c r="H9" s="13"/>
      <c r="I9" s="13"/>
      <c r="N9" s="235">
        <v>0</v>
      </c>
      <c r="O9" s="235">
        <v>160</v>
      </c>
      <c r="P9" s="235">
        <v>260</v>
      </c>
      <c r="Q9" s="235">
        <v>350</v>
      </c>
      <c r="R9" s="496">
        <v>350</v>
      </c>
      <c r="AA9" s="3" t="s">
        <v>184</v>
      </c>
      <c r="AJ9" s="7"/>
      <c r="AK9" s="3"/>
      <c r="AL9" s="3"/>
      <c r="AN9" s="7"/>
      <c r="AO9" s="31"/>
    </row>
    <row r="10" spans="1:42">
      <c r="B10" s="755"/>
      <c r="C10" s="753"/>
      <c r="D10" s="753"/>
      <c r="E10" s="754"/>
      <c r="F10" s="805"/>
      <c r="G10" s="749"/>
      <c r="H10" s="13"/>
      <c r="I10" s="13"/>
      <c r="N10" s="235">
        <v>1</v>
      </c>
      <c r="O10" s="235">
        <v>110</v>
      </c>
      <c r="P10" s="235">
        <v>160</v>
      </c>
      <c r="Q10" s="235">
        <v>260</v>
      </c>
      <c r="R10" s="496">
        <v>260</v>
      </c>
      <c r="AA10" s="3" t="s">
        <v>185</v>
      </c>
      <c r="AJ10" s="7"/>
      <c r="AK10" s="3"/>
      <c r="AL10" s="3"/>
      <c r="AN10" s="7"/>
      <c r="AO10" s="7"/>
    </row>
    <row r="11" spans="1:42" ht="38.25">
      <c r="B11" s="755"/>
      <c r="C11" s="753"/>
      <c r="D11" s="753"/>
      <c r="E11" s="754"/>
      <c r="F11" s="48" t="s">
        <v>23</v>
      </c>
      <c r="G11" s="49" t="s">
        <v>22</v>
      </c>
      <c r="H11" s="13"/>
      <c r="I11" s="13"/>
      <c r="N11" s="235">
        <v>2</v>
      </c>
      <c r="O11" s="235">
        <v>90</v>
      </c>
      <c r="P11" s="235">
        <v>110</v>
      </c>
      <c r="Q11" s="235">
        <v>160</v>
      </c>
      <c r="R11" s="496">
        <v>160</v>
      </c>
      <c r="AA11" s="3" t="s">
        <v>1176</v>
      </c>
      <c r="AB11" s="3" t="s">
        <v>1177</v>
      </c>
      <c r="AC11" s="3" t="s">
        <v>1178</v>
      </c>
      <c r="AJ11" s="7"/>
      <c r="AK11" s="3"/>
      <c r="AL11" s="3"/>
      <c r="AN11" s="7"/>
      <c r="AO11" s="7"/>
    </row>
    <row r="12" spans="1:42" ht="38.25">
      <c r="B12" s="755"/>
      <c r="C12" s="753"/>
      <c r="D12" s="753"/>
      <c r="E12" s="754"/>
      <c r="F12" s="48" t="s">
        <v>28</v>
      </c>
      <c r="G12" s="50"/>
      <c r="H12" s="13"/>
      <c r="I12" s="13"/>
      <c r="N12" s="12"/>
      <c r="O12" s="12"/>
      <c r="P12" s="12"/>
      <c r="Q12" s="12"/>
      <c r="AA12">
        <v>120</v>
      </c>
      <c r="AB12">
        <v>240</v>
      </c>
      <c r="AC12">
        <v>240</v>
      </c>
      <c r="AJ12" s="7"/>
      <c r="AK12" s="3"/>
      <c r="AL12" s="3"/>
      <c r="AN12" s="7"/>
      <c r="AO12" s="7"/>
    </row>
    <row r="13" spans="1:42">
      <c r="B13" s="755"/>
      <c r="C13" s="753"/>
      <c r="D13" s="753"/>
      <c r="E13" s="754"/>
      <c r="F13" s="805" t="s">
        <v>17</v>
      </c>
      <c r="G13" s="750"/>
      <c r="H13" s="13"/>
      <c r="I13" s="13"/>
      <c r="AA13">
        <v>60</v>
      </c>
      <c r="AB13">
        <v>120</v>
      </c>
      <c r="AC13">
        <v>120</v>
      </c>
      <c r="AJ13" s="30"/>
      <c r="AN13" s="7"/>
      <c r="AO13" s="7"/>
    </row>
    <row r="14" spans="1:42" ht="13.5" thickBot="1">
      <c r="B14" s="756"/>
      <c r="C14" s="757"/>
      <c r="D14" s="757"/>
      <c r="E14" s="758"/>
      <c r="F14" s="806"/>
      <c r="G14" s="751"/>
      <c r="H14" s="13"/>
      <c r="I14" s="13"/>
      <c r="AA14">
        <v>40</v>
      </c>
      <c r="AB14">
        <v>80</v>
      </c>
      <c r="AC14">
        <v>80</v>
      </c>
      <c r="AJ14" s="26"/>
      <c r="AN14" s="30"/>
      <c r="AO14" s="30"/>
    </row>
    <row r="15" spans="1:42" s="8" customFormat="1" ht="13.5" thickBot="1">
      <c r="B15" s="25"/>
      <c r="E15" s="13"/>
      <c r="G15" s="13"/>
      <c r="H15" s="13"/>
      <c r="I15" s="13"/>
      <c r="AA15">
        <v>30</v>
      </c>
      <c r="AB15">
        <v>60</v>
      </c>
      <c r="AC15">
        <v>60</v>
      </c>
      <c r="AJ15"/>
      <c r="AN15" s="26"/>
      <c r="AO15" s="26"/>
    </row>
    <row r="16" spans="1:42" ht="15.75" customHeight="1">
      <c r="B16" s="19" t="s">
        <v>10</v>
      </c>
      <c r="C16" s="20"/>
      <c r="D16" s="27"/>
      <c r="E16" s="13"/>
      <c r="F16" s="763" t="s">
        <v>1180</v>
      </c>
      <c r="G16" s="763"/>
      <c r="H16" s="763"/>
      <c r="I16" s="763"/>
      <c r="J16" s="763"/>
      <c r="K16" s="763"/>
      <c r="AA16">
        <v>24</v>
      </c>
      <c r="AB16">
        <v>48</v>
      </c>
      <c r="AC16">
        <v>48</v>
      </c>
    </row>
    <row r="17" spans="2:29" ht="12.75" customHeight="1">
      <c r="B17" s="22" t="s">
        <v>8</v>
      </c>
      <c r="C17" s="761" t="s">
        <v>188</v>
      </c>
      <c r="D17" s="762"/>
      <c r="E17" s="13"/>
      <c r="F17" s="483" t="s">
        <v>1405</v>
      </c>
      <c r="G17" s="479">
        <v>30</v>
      </c>
      <c r="H17" s="730" t="s">
        <v>1179</v>
      </c>
      <c r="I17" s="730"/>
      <c r="J17" s="730"/>
      <c r="K17" s="730"/>
      <c r="L17" s="474"/>
      <c r="M17" s="476"/>
      <c r="N17" s="476"/>
      <c r="O17" s="476"/>
      <c r="AA17">
        <v>20</v>
      </c>
      <c r="AB17">
        <v>40</v>
      </c>
      <c r="AC17">
        <v>40</v>
      </c>
    </row>
    <row r="18" spans="2:29" ht="12.75" customHeight="1">
      <c r="B18" s="22" t="s">
        <v>14</v>
      </c>
      <c r="C18" s="759" t="s">
        <v>239</v>
      </c>
      <c r="D18" s="760"/>
      <c r="E18" s="13"/>
      <c r="F18" s="484"/>
      <c r="H18" s="730"/>
      <c r="I18" s="730"/>
      <c r="J18" s="730"/>
      <c r="K18" s="730"/>
      <c r="L18" s="474"/>
      <c r="M18" s="476"/>
      <c r="N18" s="476"/>
      <c r="O18" s="476"/>
      <c r="AC18">
        <v>34</v>
      </c>
    </row>
    <row r="19" spans="2:29" ht="12.75" customHeight="1">
      <c r="B19" s="22" t="s">
        <v>9</v>
      </c>
      <c r="C19" s="759" t="s">
        <v>1243</v>
      </c>
      <c r="D19" s="760"/>
      <c r="E19" s="13"/>
      <c r="F19" s="483" t="s">
        <v>1400</v>
      </c>
      <c r="G19" s="479">
        <v>48</v>
      </c>
      <c r="H19" s="730" t="s">
        <v>1218</v>
      </c>
      <c r="I19" s="730"/>
      <c r="J19" s="730"/>
      <c r="K19" s="730"/>
      <c r="L19" s="477"/>
      <c r="M19" s="477"/>
      <c r="N19" s="477"/>
      <c r="O19" s="477"/>
    </row>
    <row r="20" spans="2:29" ht="12.75" customHeight="1">
      <c r="B20" s="22" t="s">
        <v>379</v>
      </c>
      <c r="C20" s="764">
        <v>16</v>
      </c>
      <c r="D20" s="765"/>
      <c r="E20" s="13"/>
      <c r="F20" s="484"/>
      <c r="H20" s="730"/>
      <c r="I20" s="730"/>
      <c r="J20" s="730"/>
      <c r="K20" s="730"/>
    </row>
    <row r="21" spans="2:29" ht="12.75" customHeight="1">
      <c r="B21" s="22" t="s">
        <v>377</v>
      </c>
      <c r="C21" s="804">
        <v>2</v>
      </c>
      <c r="D21" s="760"/>
      <c r="E21" s="13"/>
      <c r="F21" s="483" t="s">
        <v>1401</v>
      </c>
      <c r="G21" s="479">
        <v>34</v>
      </c>
      <c r="H21" s="730" t="s">
        <v>1175</v>
      </c>
      <c r="I21" s="730"/>
      <c r="J21" s="730"/>
      <c r="K21" s="730"/>
      <c r="L21" s="478"/>
      <c r="M21" s="478"/>
    </row>
    <row r="22" spans="2:29" ht="15">
      <c r="B22" s="40" t="s">
        <v>270</v>
      </c>
      <c r="C22" s="802">
        <f>(C20*C21)</f>
        <v>32</v>
      </c>
      <c r="D22" s="803"/>
      <c r="E22" s="13"/>
      <c r="F22" s="472"/>
      <c r="G22" s="475"/>
      <c r="H22" s="731"/>
      <c r="I22" s="731"/>
      <c r="J22" s="731"/>
      <c r="K22" s="731"/>
      <c r="L22" s="12"/>
      <c r="M22" s="12"/>
    </row>
    <row r="23" spans="2:29" ht="14.25" customHeight="1">
      <c r="B23" s="22" t="s">
        <v>25</v>
      </c>
      <c r="C23" s="740">
        <v>1</v>
      </c>
      <c r="D23" s="741"/>
      <c r="E23" s="13"/>
      <c r="F23" s="483" t="s">
        <v>1188</v>
      </c>
      <c r="G23" s="488" t="s">
        <v>185</v>
      </c>
      <c r="H23" s="730" t="s">
        <v>1379</v>
      </c>
      <c r="I23" s="730"/>
      <c r="J23" s="730"/>
      <c r="K23" s="730"/>
      <c r="L23" s="474"/>
      <c r="M23" s="474"/>
    </row>
    <row r="24" spans="2:29" ht="15" customHeight="1">
      <c r="B24" s="22" t="s">
        <v>32</v>
      </c>
      <c r="C24" s="770">
        <f>(C22*C23)</f>
        <v>32</v>
      </c>
      <c r="D24" s="771"/>
      <c r="E24" s="13"/>
      <c r="H24" s="730"/>
      <c r="I24" s="730"/>
      <c r="J24" s="730"/>
      <c r="K24" s="730"/>
      <c r="L24" s="474"/>
      <c r="M24" s="474"/>
    </row>
    <row r="25" spans="2:29" ht="14.25" customHeight="1">
      <c r="B25" s="22" t="s">
        <v>26</v>
      </c>
      <c r="C25" s="766">
        <v>17</v>
      </c>
      <c r="D25" s="767"/>
      <c r="E25" s="13"/>
      <c r="F25" s="514" t="s">
        <v>1237</v>
      </c>
      <c r="H25" s="730"/>
      <c r="I25" s="730"/>
      <c r="J25" s="730"/>
      <c r="K25" s="730"/>
      <c r="L25" s="474"/>
      <c r="M25" s="474"/>
    </row>
    <row r="26" spans="2:29" ht="14.25" customHeight="1">
      <c r="B26" s="22" t="s">
        <v>27</v>
      </c>
      <c r="C26" s="778">
        <v>10</v>
      </c>
      <c r="D26" s="779"/>
      <c r="E26" s="13"/>
      <c r="F26" s="515" t="s">
        <v>1245</v>
      </c>
      <c r="H26" s="730"/>
      <c r="I26" s="730"/>
      <c r="J26" s="730"/>
      <c r="K26" s="730"/>
      <c r="L26" s="12"/>
      <c r="M26" s="12"/>
    </row>
    <row r="27" spans="2:29" ht="14.25" customHeight="1">
      <c r="B27" s="22" t="s">
        <v>84</v>
      </c>
      <c r="C27" s="778">
        <v>2</v>
      </c>
      <c r="D27" s="779"/>
      <c r="E27" s="13"/>
      <c r="F27" s="516" t="s">
        <v>1238</v>
      </c>
      <c r="H27" s="730"/>
      <c r="I27" s="730"/>
      <c r="J27" s="730"/>
      <c r="K27" s="730"/>
    </row>
    <row r="28" spans="2:29" ht="14.25" customHeight="1">
      <c r="B28" s="22" t="s">
        <v>280</v>
      </c>
      <c r="C28" s="782">
        <f>IF(C30=16, 1, 2)</f>
        <v>1</v>
      </c>
      <c r="D28" s="783"/>
      <c r="E28" s="13"/>
      <c r="F28" s="517">
        <v>22</v>
      </c>
      <c r="H28" s="730"/>
      <c r="I28" s="730"/>
      <c r="J28" s="730"/>
      <c r="K28" s="730"/>
    </row>
    <row r="29" spans="2:29" ht="15">
      <c r="B29" s="22" t="s">
        <v>281</v>
      </c>
      <c r="C29" s="770">
        <f>(2^C27 * 2^C28)</f>
        <v>8</v>
      </c>
      <c r="D29" s="771"/>
      <c r="E29" s="13"/>
      <c r="H29" s="730"/>
      <c r="I29" s="730"/>
      <c r="J29" s="730"/>
      <c r="K29" s="730"/>
    </row>
    <row r="30" spans="2:29" ht="12.75" customHeight="1">
      <c r="B30" s="40" t="s">
        <v>1396</v>
      </c>
      <c r="C30" s="778">
        <v>16</v>
      </c>
      <c r="D30" s="779"/>
      <c r="E30" s="13"/>
      <c r="F30" s="486" t="s">
        <v>1189</v>
      </c>
      <c r="G30" s="476"/>
      <c r="H30" s="476"/>
      <c r="I30" s="476"/>
      <c r="J30" s="476"/>
      <c r="K30" s="476"/>
    </row>
    <row r="31" spans="2:29" ht="14.25" customHeight="1">
      <c r="B31" s="23" t="s">
        <v>1406</v>
      </c>
      <c r="C31" s="776">
        <v>32</v>
      </c>
      <c r="D31" s="777"/>
      <c r="E31" s="13"/>
      <c r="F31" s="487" t="s">
        <v>1185</v>
      </c>
      <c r="G31" s="473">
        <v>2</v>
      </c>
      <c r="H31" s="730" t="s">
        <v>1184</v>
      </c>
      <c r="I31" s="730"/>
      <c r="J31" s="730"/>
      <c r="K31" s="730"/>
    </row>
    <row r="32" spans="2:29" ht="12.75" customHeight="1">
      <c r="B32" s="23" t="s">
        <v>375</v>
      </c>
      <c r="C32" s="766">
        <v>1600</v>
      </c>
      <c r="D32" s="767"/>
      <c r="E32" s="13"/>
      <c r="H32" s="730"/>
      <c r="I32" s="730"/>
      <c r="J32" s="730"/>
      <c r="K32" s="730"/>
    </row>
    <row r="33" spans="1:36" ht="26.25" thickBot="1">
      <c r="B33" s="24" t="s">
        <v>11</v>
      </c>
      <c r="C33" s="780">
        <f>(1/C32)*1000</f>
        <v>0.625</v>
      </c>
      <c r="D33" s="781"/>
      <c r="E33" s="13"/>
      <c r="F33" s="482" t="s">
        <v>1186</v>
      </c>
      <c r="G33" s="473" t="s">
        <v>184</v>
      </c>
      <c r="H33" s="739" t="s">
        <v>1187</v>
      </c>
      <c r="I33" s="739"/>
      <c r="J33" s="739"/>
      <c r="K33" s="739"/>
      <c r="AJ33" s="8"/>
    </row>
    <row r="34" spans="1:36" ht="15">
      <c r="B34" s="405" t="s">
        <v>1393</v>
      </c>
      <c r="C34" s="742">
        <v>668</v>
      </c>
      <c r="D34" s="743"/>
      <c r="E34" s="13"/>
      <c r="AJ34" s="8"/>
    </row>
    <row r="35" spans="1:36" ht="15.75" thickBot="1">
      <c r="B35" s="518" t="s">
        <v>1117</v>
      </c>
      <c r="C35" s="744">
        <f>(1/C34)*1000</f>
        <v>1.4970059880239521</v>
      </c>
      <c r="D35" s="745"/>
      <c r="E35" s="13"/>
      <c r="F35" s="725" t="s">
        <v>1231</v>
      </c>
      <c r="G35" s="117"/>
      <c r="H35" s="13"/>
      <c r="I35" s="13"/>
      <c r="J35" s="8"/>
      <c r="AJ35" s="8"/>
    </row>
    <row r="36" spans="1:36" ht="15">
      <c r="A36" s="20"/>
      <c r="B36" s="519"/>
      <c r="C36" s="746"/>
      <c r="D36" s="746"/>
      <c r="E36" s="13"/>
      <c r="F36" s="725"/>
      <c r="G36" s="117"/>
      <c r="H36" s="13"/>
      <c r="I36" s="13"/>
      <c r="J36" s="8"/>
      <c r="AJ36" s="8"/>
    </row>
    <row r="37" spans="1:36">
      <c r="A37" s="12"/>
      <c r="B37" s="66"/>
      <c r="C37" s="66"/>
      <c r="D37" s="66"/>
      <c r="E37" s="13"/>
      <c r="F37" s="500">
        <v>2</v>
      </c>
      <c r="G37" s="117"/>
      <c r="H37" s="13"/>
      <c r="I37" s="13"/>
      <c r="J37" s="8"/>
      <c r="AJ37" s="8"/>
    </row>
    <row r="38" spans="1:36" ht="18" customHeight="1">
      <c r="B38" s="66" t="s">
        <v>218</v>
      </c>
      <c r="C38" s="722" t="s">
        <v>263</v>
      </c>
      <c r="D38" s="724"/>
      <c r="E38" s="13"/>
      <c r="G38" s="47"/>
      <c r="H38" s="13"/>
      <c r="I38" s="13"/>
      <c r="J38" s="8"/>
      <c r="AJ38" s="8"/>
    </row>
    <row r="39" spans="1:36" ht="15.75" thickBot="1">
      <c r="B39" s="66" t="s">
        <v>1128</v>
      </c>
      <c r="C39" s="722" t="s">
        <v>1129</v>
      </c>
      <c r="D39" s="723"/>
      <c r="E39" s="13"/>
      <c r="G39" s="47"/>
      <c r="H39" s="13"/>
      <c r="I39" s="13"/>
      <c r="J39" s="8"/>
      <c r="AJ39" s="8"/>
    </row>
    <row r="40" spans="1:36" ht="15.75" thickBot="1">
      <c r="B40" s="66" t="s">
        <v>1130</v>
      </c>
      <c r="C40" s="722" t="s">
        <v>1131</v>
      </c>
      <c r="D40" s="724"/>
      <c r="E40" s="13"/>
      <c r="F40" s="848" t="s">
        <v>1332</v>
      </c>
      <c r="G40" s="849"/>
      <c r="H40" s="13"/>
      <c r="I40" s="13"/>
      <c r="J40" s="8"/>
      <c r="AJ40" s="8"/>
    </row>
    <row r="41" spans="1:36" ht="13.5" thickBot="1">
      <c r="B41" s="66"/>
      <c r="C41" s="772"/>
      <c r="D41" s="773"/>
      <c r="E41" s="13"/>
      <c r="F41" s="599" t="s">
        <v>1333</v>
      </c>
      <c r="G41" s="600" t="s">
        <v>185</v>
      </c>
      <c r="H41" s="13"/>
      <c r="I41" s="13"/>
      <c r="J41" s="8"/>
      <c r="AJ41" s="8"/>
    </row>
    <row r="42" spans="1:36" ht="32.25" customHeight="1">
      <c r="B42" s="774" t="s">
        <v>179</v>
      </c>
      <c r="C42" s="753"/>
      <c r="D42" s="753"/>
      <c r="E42" s="13"/>
      <c r="F42" s="12"/>
      <c r="G42" s="29"/>
      <c r="H42" s="13"/>
      <c r="I42" s="13"/>
      <c r="J42" s="8"/>
      <c r="AJ42" s="8"/>
    </row>
    <row r="43" spans="1:36" ht="22.5" customHeight="1">
      <c r="B43" s="774" t="s">
        <v>24</v>
      </c>
      <c r="C43" s="775"/>
      <c r="D43" s="775"/>
      <c r="E43" s="13"/>
      <c r="F43" s="12"/>
      <c r="G43" s="29"/>
      <c r="H43" s="13"/>
      <c r="I43" s="13"/>
      <c r="J43" s="8"/>
      <c r="AJ43" s="8"/>
    </row>
    <row r="44" spans="1:36" ht="23.25" customHeight="1">
      <c r="B44" s="768" t="s">
        <v>376</v>
      </c>
      <c r="C44" s="769"/>
      <c r="D44" s="769"/>
      <c r="E44" s="13"/>
      <c r="F44" s="12"/>
      <c r="G44" s="29"/>
      <c r="H44" s="13"/>
      <c r="I44" s="13"/>
      <c r="J44" s="8"/>
      <c r="L44" s="41"/>
      <c r="M44" s="41"/>
      <c r="AJ44" s="8"/>
    </row>
    <row r="45" spans="1:36" ht="38.25" customHeight="1">
      <c r="B45" s="747" t="s">
        <v>1394</v>
      </c>
      <c r="C45" s="747"/>
      <c r="D45" s="747"/>
      <c r="E45" s="13"/>
      <c r="F45" s="12"/>
      <c r="G45" s="29"/>
      <c r="H45" s="13"/>
      <c r="I45" s="13"/>
      <c r="J45" s="8"/>
      <c r="L45" s="41"/>
      <c r="M45" s="41"/>
      <c r="AJ45" s="8"/>
    </row>
    <row r="46" spans="1:36" s="41" customFormat="1" ht="13.5" thickBot="1">
      <c r="B46" s="42"/>
      <c r="C46" s="42"/>
      <c r="D46" s="42"/>
      <c r="E46" s="43"/>
      <c r="F46" s="42"/>
      <c r="G46" s="44"/>
      <c r="H46" s="42"/>
      <c r="I46" s="42"/>
      <c r="L46" s="8"/>
      <c r="M46" s="8"/>
      <c r="AI46" s="6"/>
    </row>
    <row r="47" spans="1:36" ht="39" thickBot="1">
      <c r="B47" s="2" t="s">
        <v>76</v>
      </c>
      <c r="C47" s="2" t="s">
        <v>5</v>
      </c>
      <c r="D47" s="2" t="s">
        <v>7</v>
      </c>
      <c r="E47" s="2" t="s">
        <v>6</v>
      </c>
      <c r="F47" s="4" t="s">
        <v>1</v>
      </c>
      <c r="G47" s="46" t="s">
        <v>3</v>
      </c>
      <c r="H47" s="5" t="s">
        <v>219</v>
      </c>
      <c r="I47" s="5" t="s">
        <v>4</v>
      </c>
      <c r="J47" s="18"/>
      <c r="AJ47" s="8"/>
    </row>
    <row r="48" spans="1:36" ht="3" customHeight="1" thickBot="1">
      <c r="B48" s="37"/>
      <c r="C48" s="37"/>
      <c r="D48" s="37"/>
      <c r="E48" s="37"/>
      <c r="F48" s="38"/>
      <c r="G48" s="39"/>
      <c r="H48" s="39"/>
      <c r="I48" s="39"/>
      <c r="J48" s="18"/>
      <c r="AJ48" s="8"/>
    </row>
    <row r="49" spans="1:36" ht="76.5">
      <c r="B49" s="152" t="s">
        <v>189</v>
      </c>
      <c r="C49" s="153" t="s">
        <v>0</v>
      </c>
      <c r="D49" s="87">
        <f>IF(C30=16, 2, IF(C30=8, 1, 0))</f>
        <v>2</v>
      </c>
      <c r="E49" s="244" t="str">
        <f>DEC2HEX(((D49)*2^30),8)</f>
        <v>80000000</v>
      </c>
      <c r="F49" s="84" t="s">
        <v>1164</v>
      </c>
      <c r="G49" s="793" t="s">
        <v>34</v>
      </c>
      <c r="H49" s="793" t="str">
        <f>"0x"&amp;DEC2HEX((HEX2DEC(C38)), 8)</f>
        <v>0x3D400000</v>
      </c>
      <c r="I49" s="797" t="str">
        <f>"0x"&amp;DEC2HEX((HEX2DEC(E49)+HEX2DEC(E50)+HEX2DEC(E51)+HEX2DEC(E52)+HEX2DEC(E53)+HEX2DEC(E54)+HEX2DEC(E55)+HEX2DEC(E56)+HEX2DEC(E57)+HEX2DEC(E58)+HEX2DEC(E59)+HEX2DEC(E60)+HEX2DEC(E61)+HEX2DEC(E62)),8)</f>
        <v>0xA1040010</v>
      </c>
      <c r="J49" s="18"/>
      <c r="AJ49" s="8"/>
    </row>
    <row r="50" spans="1:36" ht="48" customHeight="1">
      <c r="B50" s="154" t="s">
        <v>192</v>
      </c>
      <c r="C50" s="95" t="s">
        <v>0</v>
      </c>
      <c r="D50" s="157">
        <v>1</v>
      </c>
      <c r="E50" s="83" t="str">
        <f>DEC2HEX(((D50)*2^29),8)</f>
        <v>20000000</v>
      </c>
      <c r="F50" s="156" t="s">
        <v>191</v>
      </c>
      <c r="G50" s="794"/>
      <c r="H50" s="794"/>
      <c r="I50" s="798"/>
      <c r="J50" s="18"/>
      <c r="AJ50" s="8"/>
    </row>
    <row r="51" spans="1:36" ht="89.25">
      <c r="A51" s="6"/>
      <c r="B51" s="58" t="s">
        <v>99</v>
      </c>
      <c r="C51" s="95" t="s">
        <v>0</v>
      </c>
      <c r="D51" s="145">
        <f>IF(C23=1, 1, 3)</f>
        <v>1</v>
      </c>
      <c r="E51" s="429" t="str">
        <f>DEC2HEX(((D51)*2^24),8)</f>
        <v>01000000</v>
      </c>
      <c r="F51" s="124" t="s">
        <v>190</v>
      </c>
      <c r="G51" s="795"/>
      <c r="H51" s="795"/>
      <c r="I51" s="798"/>
      <c r="J51" s="18"/>
    </row>
    <row r="52" spans="1:36" ht="111" customHeight="1">
      <c r="B52" s="58" t="s">
        <v>100</v>
      </c>
      <c r="C52" s="60" t="s">
        <v>0</v>
      </c>
      <c r="D52" s="190">
        <f>IF(C17="LPDDR2",2,(IF(C17="LPDDR4",8,4)))</f>
        <v>4</v>
      </c>
      <c r="E52" s="429" t="str">
        <f>DEC2HEX(((D52)*2^16),8)</f>
        <v>00040000</v>
      </c>
      <c r="F52" s="124" t="s">
        <v>196</v>
      </c>
      <c r="G52" s="795"/>
      <c r="H52" s="795"/>
      <c r="I52" s="798"/>
      <c r="J52" s="79"/>
    </row>
    <row r="53" spans="1:36" ht="61.5" customHeight="1">
      <c r="B53" s="58" t="s">
        <v>101</v>
      </c>
      <c r="C53" s="60" t="s">
        <v>0</v>
      </c>
      <c r="D53" s="119">
        <v>0</v>
      </c>
      <c r="E53" s="429" t="str">
        <f>DEC2HEX(((D53)*2^15),8)</f>
        <v>00000000</v>
      </c>
      <c r="F53" s="124" t="s">
        <v>35</v>
      </c>
      <c r="G53" s="795"/>
      <c r="H53" s="795"/>
      <c r="I53" s="798"/>
      <c r="J53" s="18"/>
    </row>
    <row r="54" spans="1:36" ht="102">
      <c r="B54" s="58" t="s">
        <v>102</v>
      </c>
      <c r="C54" s="60" t="s">
        <v>0</v>
      </c>
      <c r="D54" s="410">
        <f>IF(C31= 32, 0, 1)</f>
        <v>0</v>
      </c>
      <c r="E54" s="429" t="str">
        <f>DEC2HEX(((D54)*2^12),8)</f>
        <v>00000000</v>
      </c>
      <c r="F54" s="124" t="s">
        <v>186</v>
      </c>
      <c r="G54" s="795"/>
      <c r="H54" s="795"/>
      <c r="I54" s="798"/>
      <c r="J54" s="18"/>
    </row>
    <row r="55" spans="1:36" ht="178.5">
      <c r="A55" s="6"/>
      <c r="B55" s="58" t="s">
        <v>1118</v>
      </c>
      <c r="C55" s="408" t="s">
        <v>0</v>
      </c>
      <c r="D55" s="179">
        <v>0</v>
      </c>
      <c r="E55" s="409" t="str">
        <f>DEC2HEX(((D55)*2^10),8)</f>
        <v>00000000</v>
      </c>
      <c r="F55" s="124" t="s">
        <v>1119</v>
      </c>
      <c r="G55" s="795"/>
      <c r="H55" s="795"/>
      <c r="I55" s="798"/>
      <c r="J55" s="229"/>
    </row>
    <row r="56" spans="1:36" ht="76.5">
      <c r="B56" s="58" t="s">
        <v>103</v>
      </c>
      <c r="C56" s="60" t="s">
        <v>0</v>
      </c>
      <c r="D56" s="411">
        <v>0</v>
      </c>
      <c r="E56" s="429" t="str">
        <f>DEC2HEX(((D56)*2^9),8)</f>
        <v>00000000</v>
      </c>
      <c r="F56" s="124" t="s">
        <v>193</v>
      </c>
      <c r="G56" s="795"/>
      <c r="H56" s="795"/>
      <c r="I56" s="798"/>
      <c r="J56" s="18"/>
    </row>
    <row r="57" spans="1:36" ht="51">
      <c r="B57" s="58" t="s">
        <v>104</v>
      </c>
      <c r="C57" s="60" t="s">
        <v>0</v>
      </c>
      <c r="D57" s="119">
        <v>0</v>
      </c>
      <c r="E57" s="429" t="str">
        <f>DEC2HEX(((D57)*2^8),8)</f>
        <v>00000000</v>
      </c>
      <c r="F57" s="124" t="s">
        <v>147</v>
      </c>
      <c r="G57" s="795"/>
      <c r="H57" s="795"/>
      <c r="I57" s="798"/>
      <c r="J57" s="18"/>
    </row>
    <row r="58" spans="1:36" ht="89.25">
      <c r="B58" s="58" t="s">
        <v>187</v>
      </c>
      <c r="C58" s="60" t="s">
        <v>0</v>
      </c>
      <c r="D58" s="145">
        <f>IF(C17 = "lpddr4",1,0)</f>
        <v>0</v>
      </c>
      <c r="E58" s="429" t="str">
        <f>DEC2HEX(((D58)*2^5),8)</f>
        <v>00000000</v>
      </c>
      <c r="F58" s="124" t="s">
        <v>194</v>
      </c>
      <c r="G58" s="795"/>
      <c r="H58" s="795"/>
      <c r="I58" s="798"/>
      <c r="J58" s="18"/>
    </row>
    <row r="59" spans="1:36" ht="89.25">
      <c r="B59" s="58" t="s">
        <v>188</v>
      </c>
      <c r="C59" s="60" t="s">
        <v>0</v>
      </c>
      <c r="D59" s="145">
        <f>IF(C17 = "ddr4",1,0)</f>
        <v>1</v>
      </c>
      <c r="E59" s="429" t="str">
        <f>DEC2HEX(((D59)*2^4),8)</f>
        <v>00000010</v>
      </c>
      <c r="F59" s="124" t="s">
        <v>195</v>
      </c>
      <c r="G59" s="795"/>
      <c r="H59" s="795"/>
      <c r="I59" s="798"/>
      <c r="J59" s="18"/>
    </row>
    <row r="60" spans="1:36" ht="89.25">
      <c r="B60" s="58" t="s">
        <v>33</v>
      </c>
      <c r="C60" s="60" t="s">
        <v>0</v>
      </c>
      <c r="D60" s="145">
        <f>IF(C17 = "lpddr3",1,0)</f>
        <v>0</v>
      </c>
      <c r="E60" s="429" t="str">
        <f>DEC2HEX(((D60)*2^3),8)</f>
        <v>00000000</v>
      </c>
      <c r="F60" s="124" t="s">
        <v>106</v>
      </c>
      <c r="G60" s="795"/>
      <c r="H60" s="795"/>
      <c r="I60" s="798"/>
      <c r="J60" s="18"/>
    </row>
    <row r="61" spans="1:36" ht="89.25">
      <c r="B61" s="58" t="s">
        <v>13</v>
      </c>
      <c r="C61" s="60" t="s">
        <v>0</v>
      </c>
      <c r="D61" s="145">
        <f>IF(C17 = "lpddr2",1,0)</f>
        <v>0</v>
      </c>
      <c r="E61" s="429" t="str">
        <f>DEC2HEX(((D61)*2^2),8)</f>
        <v>00000000</v>
      </c>
      <c r="F61" s="124" t="s">
        <v>107</v>
      </c>
      <c r="G61" s="795"/>
      <c r="H61" s="795"/>
      <c r="I61" s="798"/>
      <c r="J61" s="18"/>
    </row>
    <row r="62" spans="1:36" ht="90" thickBot="1">
      <c r="B62" s="59" t="s">
        <v>105</v>
      </c>
      <c r="C62" s="62" t="s">
        <v>0</v>
      </c>
      <c r="D62" s="108">
        <f>IF(C17 = "ddr3",1,0)</f>
        <v>0</v>
      </c>
      <c r="E62" s="428" t="str">
        <f>DEC2HEX(((D62)*2^0),8)</f>
        <v>00000000</v>
      </c>
      <c r="F62" s="128" t="s">
        <v>108</v>
      </c>
      <c r="G62" s="796"/>
      <c r="H62" s="796"/>
      <c r="I62" s="799"/>
      <c r="J62" s="18"/>
    </row>
    <row r="63" spans="1:36" ht="15.75" thickBot="1">
      <c r="B63" s="73"/>
      <c r="C63" s="74"/>
      <c r="D63" s="111"/>
      <c r="E63" s="36"/>
      <c r="F63" s="71"/>
      <c r="G63" s="73"/>
      <c r="H63" s="73"/>
      <c r="I63" s="73"/>
      <c r="J63" s="18"/>
    </row>
    <row r="64" spans="1:36" ht="102">
      <c r="B64" s="387" t="s">
        <v>507</v>
      </c>
      <c r="C64" s="381" t="s">
        <v>0</v>
      </c>
      <c r="D64" s="379">
        <v>132</v>
      </c>
      <c r="E64" s="294" t="str">
        <f>DEC2HEX(((D64)*2^16),8)</f>
        <v>00840000</v>
      </c>
      <c r="F64" s="382" t="s">
        <v>512</v>
      </c>
      <c r="G64" s="710" t="s">
        <v>506</v>
      </c>
      <c r="H64" s="658" t="str">
        <f>"0x"&amp;DEC2HEX((HEX2DEC(C40)+56), 8)</f>
        <v>0x3D403038</v>
      </c>
      <c r="I64" s="711" t="str">
        <f>"0x"&amp;DEC2HEX((HEX2DEC(E64)+HEX2DEC(E65)+HEX2DEC(E66)), 8)</f>
        <v>0x00840000</v>
      </c>
    </row>
    <row r="65" spans="1:11" ht="76.5">
      <c r="B65" s="388" t="s">
        <v>508</v>
      </c>
      <c r="C65" s="183" t="s">
        <v>0</v>
      </c>
      <c r="D65" s="292">
        <v>0</v>
      </c>
      <c r="E65" s="295" t="str">
        <f>DEC2HEX(((D65)*2^1),8)</f>
        <v>00000000</v>
      </c>
      <c r="F65" s="182" t="s">
        <v>511</v>
      </c>
      <c r="G65" s="693"/>
      <c r="H65" s="693"/>
      <c r="I65" s="694"/>
    </row>
    <row r="66" spans="1:11" ht="26.25" thickBot="1">
      <c r="B66" s="389" t="s">
        <v>509</v>
      </c>
      <c r="C66" s="385" t="s">
        <v>0</v>
      </c>
      <c r="D66" s="293">
        <v>0</v>
      </c>
      <c r="E66" s="296" t="str">
        <f>DEC2HEX(((D66)*2^0),8)</f>
        <v>00000000</v>
      </c>
      <c r="F66" s="386" t="s">
        <v>510</v>
      </c>
      <c r="G66" s="659"/>
      <c r="H66" s="659"/>
      <c r="I66" s="661"/>
    </row>
    <row r="67" spans="1:11" ht="13.5" thickBot="1"/>
    <row r="68" spans="1:11" ht="13.5" thickBot="1">
      <c r="B68" s="788" t="s">
        <v>148</v>
      </c>
      <c r="C68" s="789"/>
      <c r="D68" s="789"/>
      <c r="E68" s="789"/>
      <c r="F68" s="789"/>
      <c r="G68" s="789"/>
      <c r="H68" s="789"/>
      <c r="I68" s="790"/>
      <c r="J68" s="18"/>
      <c r="K68" s="65"/>
    </row>
    <row r="69" spans="1:11" ht="51">
      <c r="B69" s="57" t="s">
        <v>149</v>
      </c>
      <c r="C69" s="64" t="s">
        <v>0</v>
      </c>
      <c r="D69" s="56">
        <v>0</v>
      </c>
      <c r="E69" s="194" t="str">
        <f>DEC2HEX(((D69)*2^8),8)</f>
        <v>00000000</v>
      </c>
      <c r="F69" s="125" t="s">
        <v>276</v>
      </c>
      <c r="G69" s="688" t="s">
        <v>55</v>
      </c>
      <c r="H69" s="688" t="str">
        <f>"0x"&amp;DEC2HEX((HEX2DEC(C38)+512), 8)</f>
        <v>0x3D400200</v>
      </c>
      <c r="I69" s="660" t="str">
        <f>"0x"&amp;DEC2HEX((HEX2DEC(E69)+HEX2DEC(E70)), 8)</f>
        <v>0x0000001F</v>
      </c>
      <c r="J69" s="18"/>
      <c r="K69" s="65"/>
    </row>
    <row r="70" spans="1:11" ht="91.5" customHeight="1" thickBot="1">
      <c r="B70" s="59" t="s">
        <v>150</v>
      </c>
      <c r="C70" s="62" t="s">
        <v>0</v>
      </c>
      <c r="D70" s="122">
        <f>IF(C23=1, 31, IF(C31=32, (C25+C26+C27+C28-6), (C25+C26+C27+C28-6 - 1))-(IF(G41="ENABLED",3,0)))</f>
        <v>31</v>
      </c>
      <c r="E70" s="195" t="str">
        <f>DEC2HEX(((D70)*2^0),8)</f>
        <v>0000001F</v>
      </c>
      <c r="F70" s="128" t="s">
        <v>77</v>
      </c>
      <c r="G70" s="659"/>
      <c r="H70" s="659"/>
      <c r="I70" s="661"/>
      <c r="J70" s="18"/>
      <c r="K70" s="65"/>
    </row>
    <row r="71" spans="1:11" ht="3" customHeight="1" thickBot="1">
      <c r="B71" s="67"/>
      <c r="C71" s="68"/>
      <c r="D71" s="69"/>
      <c r="E71" s="70"/>
      <c r="F71" s="131"/>
      <c r="G71" s="36"/>
      <c r="H71" s="36"/>
      <c r="I71" s="55"/>
      <c r="J71" s="18"/>
      <c r="K71" s="65"/>
    </row>
    <row r="72" spans="1:11" ht="86.25" customHeight="1">
      <c r="B72" s="57" t="s">
        <v>151</v>
      </c>
      <c r="C72" s="64" t="s">
        <v>0</v>
      </c>
      <c r="D72" s="109">
        <f>IF(C27=3, D74, 63)</f>
        <v>63</v>
      </c>
      <c r="E72" s="52" t="str">
        <f>DEC2HEX(((D72)*2^16),8)</f>
        <v>003F0000</v>
      </c>
      <c r="F72" s="125" t="s">
        <v>803</v>
      </c>
      <c r="G72" s="688" t="s">
        <v>56</v>
      </c>
      <c r="H72" s="688" t="str">
        <f>"0x"&amp;DEC2HEX((HEX2DEC(C38)+516), 8)</f>
        <v>0x3D400204</v>
      </c>
      <c r="I72" s="660" t="str">
        <f>"0x"&amp;DEC2HEX((HEX2DEC(E72)+HEX2DEC(E73)+HEX2DEC(E74)), 8)</f>
        <v>0x003F0909</v>
      </c>
      <c r="J72" s="18"/>
      <c r="K72" s="65"/>
    </row>
    <row r="73" spans="1:11" ht="74.25" customHeight="1">
      <c r="B73" s="72" t="s">
        <v>152</v>
      </c>
      <c r="C73" s="60" t="s">
        <v>0</v>
      </c>
      <c r="D73" s="107">
        <f>D74</f>
        <v>9</v>
      </c>
      <c r="E73" s="53" t="str">
        <f>DEC2HEX(((D73)*2^8),8)</f>
        <v>00000900</v>
      </c>
      <c r="F73" s="127" t="s">
        <v>802</v>
      </c>
      <c r="G73" s="693"/>
      <c r="H73" s="693"/>
      <c r="I73" s="694"/>
      <c r="J73" s="18"/>
      <c r="K73" s="65"/>
    </row>
    <row r="74" spans="1:11" ht="76.5" customHeight="1" thickBot="1">
      <c r="B74" s="59" t="s">
        <v>153</v>
      </c>
      <c r="C74" s="62" t="s">
        <v>0</v>
      </c>
      <c r="D74" s="108">
        <f>IF(G41="ENABLED",IF(C31=32, (D84+5), 3), IF(C31=32,9,7))</f>
        <v>9</v>
      </c>
      <c r="E74" s="54" t="str">
        <f>DEC2HEX(((D74)*2^0),8)</f>
        <v>00000009</v>
      </c>
      <c r="F74" s="128" t="s">
        <v>801</v>
      </c>
      <c r="G74" s="659"/>
      <c r="H74" s="659"/>
      <c r="I74" s="661"/>
      <c r="J74" s="18"/>
      <c r="K74" s="65"/>
    </row>
    <row r="75" spans="1:11" ht="3.75" customHeight="1" thickBot="1">
      <c r="B75" s="74"/>
      <c r="C75" s="74"/>
      <c r="D75" s="111"/>
      <c r="E75" s="106"/>
      <c r="F75" s="247"/>
      <c r="G75" s="188"/>
      <c r="H75" s="188"/>
      <c r="I75" s="188"/>
      <c r="J75" s="18"/>
      <c r="K75" s="65"/>
    </row>
    <row r="76" spans="1:11" ht="140.25">
      <c r="A76" s="6"/>
      <c r="B76" s="57" t="s">
        <v>271</v>
      </c>
      <c r="C76" s="64" t="s">
        <v>0</v>
      </c>
      <c r="D76" s="87">
        <f>D77</f>
        <v>0</v>
      </c>
      <c r="E76" s="501" t="str">
        <f>DEC2HEX(((D76)*2^24),8)</f>
        <v>00000000</v>
      </c>
      <c r="F76" s="125" t="s">
        <v>800</v>
      </c>
      <c r="G76" s="710" t="s">
        <v>272</v>
      </c>
      <c r="H76" s="658" t="str">
        <f>"0x"&amp;DEC2HEX((HEX2DEC(C38)+520), 8)</f>
        <v>0x3D400208</v>
      </c>
      <c r="I76" s="660" t="str">
        <f>"0x"&amp;DEC2HEX((HEX2DEC(E76)+HEX2DEC(E77)+HEX2DEC(E78)+HEX2DEC(E79)), 8)</f>
        <v>0x00000700</v>
      </c>
      <c r="J76" s="18"/>
      <c r="K76" s="65"/>
    </row>
    <row r="77" spans="1:11" ht="140.25">
      <c r="A77" s="6"/>
      <c r="B77" s="58" t="s">
        <v>273</v>
      </c>
      <c r="C77" s="60" t="s">
        <v>0</v>
      </c>
      <c r="D77" s="520">
        <v>0</v>
      </c>
      <c r="E77" s="502" t="str">
        <f>DEC2HEX(((D77)*2^16),8)</f>
        <v>00000000</v>
      </c>
      <c r="F77" s="124" t="s">
        <v>799</v>
      </c>
      <c r="G77" s="693"/>
      <c r="H77" s="693"/>
      <c r="I77" s="694"/>
      <c r="J77" s="18"/>
      <c r="K77" s="65"/>
    </row>
    <row r="78" spans="1:11" ht="127.5">
      <c r="A78" s="6"/>
      <c r="B78" s="58" t="s">
        <v>274</v>
      </c>
      <c r="C78" s="60" t="s">
        <v>0</v>
      </c>
      <c r="D78" s="118">
        <f>IF((C31=32), (IF(G41="ENABLED", 6, 7)), (IF(G41="ENABLED", (C25+8), 0)))</f>
        <v>7</v>
      </c>
      <c r="E78" s="502" t="str">
        <f>DEC2HEX(((D78)*2^8),8)</f>
        <v>00000700</v>
      </c>
      <c r="F78" s="124" t="s">
        <v>798</v>
      </c>
      <c r="G78" s="693"/>
      <c r="H78" s="693"/>
      <c r="I78" s="694"/>
      <c r="J78" s="18"/>
      <c r="K78" s="65"/>
    </row>
    <row r="79" spans="1:11" ht="128.25" thickBot="1">
      <c r="A79" s="6"/>
      <c r="B79" s="59" t="s">
        <v>275</v>
      </c>
      <c r="C79" s="62" t="s">
        <v>0</v>
      </c>
      <c r="D79" s="151">
        <f>IF(AND(G41="ENABLED",C31=16),8,0)</f>
        <v>0</v>
      </c>
      <c r="E79" s="503" t="str">
        <f>DEC2HEX(((D79)*2^0),8)</f>
        <v>00000000</v>
      </c>
      <c r="F79" s="128" t="s">
        <v>797</v>
      </c>
      <c r="G79" s="659"/>
      <c r="H79" s="659"/>
      <c r="I79" s="661"/>
      <c r="J79" s="18"/>
      <c r="K79" s="65"/>
    </row>
    <row r="80" spans="1:11" s="12" customFormat="1" ht="4.5" customHeight="1" thickBot="1">
      <c r="B80" s="212"/>
      <c r="C80" s="212"/>
      <c r="D80" s="143"/>
      <c r="E80" s="213"/>
      <c r="F80" s="214"/>
      <c r="G80" s="214"/>
      <c r="H80" s="214"/>
      <c r="I80" s="215"/>
    </row>
    <row r="81" spans="1:11" ht="270">
      <c r="A81" s="6"/>
      <c r="B81" s="57" t="s">
        <v>258</v>
      </c>
      <c r="C81" s="64" t="s">
        <v>0</v>
      </c>
      <c r="D81" s="87">
        <f>IF(C31=32,D82,31)</f>
        <v>0</v>
      </c>
      <c r="E81" s="209" t="str">
        <f>DEC2HEX(((D81)*2^24),8)</f>
        <v>00000000</v>
      </c>
      <c r="F81" s="216" t="s">
        <v>793</v>
      </c>
      <c r="G81" s="710" t="s">
        <v>259</v>
      </c>
      <c r="H81" s="658" t="str">
        <f>"0x"&amp;DEC2HEX((HEX2DEC(C38)+524), 8)</f>
        <v>0x3D40020C</v>
      </c>
      <c r="I81" s="660" t="str">
        <f>"0x"&amp;DEC2HEX((HEX2DEC(E81)+HEX2DEC(E82)+HEX2DEC(E83)+HEX2DEC(E84)), 8)</f>
        <v>0x00000000</v>
      </c>
      <c r="J81" s="18"/>
      <c r="K81" s="65"/>
    </row>
    <row r="82" spans="1:11" ht="236.25">
      <c r="A82" s="6"/>
      <c r="B82" s="58" t="s">
        <v>260</v>
      </c>
      <c r="C82" s="60" t="s">
        <v>0</v>
      </c>
      <c r="D82" s="190">
        <f>D83</f>
        <v>0</v>
      </c>
      <c r="E82" s="210" t="str">
        <f>DEC2HEX(((D82)*2^16),8)</f>
        <v>00000000</v>
      </c>
      <c r="F82" s="217" t="s">
        <v>794</v>
      </c>
      <c r="G82" s="693"/>
      <c r="H82" s="693"/>
      <c r="I82" s="694"/>
      <c r="J82" s="18"/>
      <c r="K82" s="65"/>
    </row>
    <row r="83" spans="1:11" ht="146.25">
      <c r="A83" s="6"/>
      <c r="B83" s="58" t="s">
        <v>261</v>
      </c>
      <c r="C83" s="60" t="s">
        <v>0</v>
      </c>
      <c r="D83" s="190">
        <f>IF(C31=32,(IF(G41="ENABLED",((C23-1)+C25+C27+C28),D84)),IF(G41="ENABLED",C25+5,0))</f>
        <v>0</v>
      </c>
      <c r="E83" s="210" t="str">
        <f>DEC2HEX(((D83)*2^8),8)</f>
        <v>00000000</v>
      </c>
      <c r="F83" s="217" t="s">
        <v>795</v>
      </c>
      <c r="G83" s="693"/>
      <c r="H83" s="693"/>
      <c r="I83" s="694"/>
      <c r="J83" s="18"/>
      <c r="K83" s="65"/>
    </row>
    <row r="84" spans="1:11" ht="79.5" thickBot="1">
      <c r="A84" s="6"/>
      <c r="B84" s="59" t="s">
        <v>262</v>
      </c>
      <c r="C84" s="62" t="s">
        <v>0</v>
      </c>
      <c r="D84" s="151">
        <f>D77</f>
        <v>0</v>
      </c>
      <c r="E84" s="211" t="str">
        <f>DEC2HEX(((D84)*2^0),8)</f>
        <v>00000000</v>
      </c>
      <c r="F84" s="218" t="s">
        <v>796</v>
      </c>
      <c r="G84" s="659"/>
      <c r="H84" s="659"/>
      <c r="I84" s="661"/>
      <c r="J84" s="18"/>
      <c r="K84" s="65"/>
    </row>
    <row r="85" spans="1:11" ht="13.5" thickBot="1">
      <c r="B85" s="73"/>
      <c r="C85" s="74"/>
      <c r="D85" s="75"/>
      <c r="E85" s="36"/>
      <c r="F85" s="131"/>
      <c r="G85" s="78"/>
      <c r="H85" s="78"/>
      <c r="I85" s="78"/>
      <c r="J85" s="18"/>
      <c r="K85" s="65"/>
    </row>
    <row r="86" spans="1:11" ht="114.75">
      <c r="B86" s="57" t="s">
        <v>1391</v>
      </c>
      <c r="C86" s="64" t="s">
        <v>0</v>
      </c>
      <c r="D86" s="110">
        <f>IF(AND((C31=16), (G41="ENABLED")), 1, 0)</f>
        <v>0</v>
      </c>
      <c r="E86" s="639" t="str">
        <f>DEC2HEX(((D86)*2^31),8)</f>
        <v>00000000</v>
      </c>
      <c r="F86" s="125" t="s">
        <v>1392</v>
      </c>
      <c r="G86" s="701" t="s">
        <v>82</v>
      </c>
      <c r="H86" s="702" t="str">
        <f>"0x"&amp;DEC2HEX((HEX2DEC(C38)+528), 8)</f>
        <v>0x3D400210</v>
      </c>
      <c r="I86" s="703" t="str">
        <f>"0x"&amp;DEC2HEX((HEX2DEC(E86)+HEX2DEC(E87)+HEX2DEC(E88)), 8)</f>
        <v>0x00001F1F</v>
      </c>
      <c r="J86" s="18"/>
      <c r="K86" s="65"/>
    </row>
    <row r="87" spans="1:11" ht="153">
      <c r="B87" s="58" t="s">
        <v>154</v>
      </c>
      <c r="C87" s="60" t="s">
        <v>0</v>
      </c>
      <c r="D87" s="145">
        <f>IF(11&lt;C27,0,15+16)</f>
        <v>31</v>
      </c>
      <c r="E87" s="641" t="str">
        <f>DEC2HEX(((D87)*2^8),8)</f>
        <v>00001F00</v>
      </c>
      <c r="F87" s="124" t="s">
        <v>804</v>
      </c>
      <c r="G87" s="800"/>
      <c r="H87" s="666"/>
      <c r="I87" s="668"/>
      <c r="J87" s="18"/>
      <c r="K87" s="65"/>
    </row>
    <row r="88" spans="1:11" ht="153.75" thickBot="1">
      <c r="B88" s="59" t="s">
        <v>155</v>
      </c>
      <c r="C88" s="62" t="s">
        <v>0</v>
      </c>
      <c r="D88" s="112">
        <f>IF(10&lt;C26,0,15+16)</f>
        <v>31</v>
      </c>
      <c r="E88" s="640" t="str">
        <f>DEC2HEX(((D88)*2^0),8)</f>
        <v>0000001F</v>
      </c>
      <c r="F88" s="128" t="s">
        <v>805</v>
      </c>
      <c r="G88" s="667"/>
      <c r="H88" s="667"/>
      <c r="I88" s="669"/>
      <c r="J88" s="18"/>
      <c r="K88" s="65"/>
    </row>
    <row r="89" spans="1:11" ht="3" customHeight="1" thickBot="1">
      <c r="B89" s="67"/>
      <c r="C89" s="68"/>
      <c r="D89" s="69">
        <v>8</v>
      </c>
      <c r="E89" s="70"/>
      <c r="F89" s="71"/>
      <c r="G89" s="36"/>
      <c r="H89" s="36"/>
      <c r="I89" s="55"/>
      <c r="J89" s="18"/>
      <c r="K89" s="65"/>
    </row>
    <row r="90" spans="1:11" ht="93" customHeight="1">
      <c r="B90" s="57" t="s">
        <v>156</v>
      </c>
      <c r="C90" s="64" t="s">
        <v>0</v>
      </c>
      <c r="D90" s="110">
        <f>D92</f>
        <v>7</v>
      </c>
      <c r="E90" s="52" t="str">
        <f>DEC2HEX(((D90)*2^24),8)</f>
        <v>07000000</v>
      </c>
      <c r="F90" s="125" t="s">
        <v>806</v>
      </c>
      <c r="G90" s="688" t="s">
        <v>57</v>
      </c>
      <c r="H90" s="688" t="str">
        <f>"0x"&amp;DEC2HEX((HEX2DEC(C38)+532), 8)</f>
        <v>0x3D400214</v>
      </c>
      <c r="I90" s="660" t="str">
        <f>"0x"&amp;DEC2HEX((HEX2DEC(E90)+HEX2DEC(E91)+HEX2DEC(E92)+HEX2DEC(E93)), 8)</f>
        <v>0x07070707</v>
      </c>
      <c r="J90" s="18"/>
      <c r="K90" s="65"/>
    </row>
    <row r="91" spans="1:11" ht="114" customHeight="1">
      <c r="B91" s="58" t="s">
        <v>157</v>
      </c>
      <c r="C91" s="60" t="s">
        <v>0</v>
      </c>
      <c r="D91" s="107">
        <f>D92</f>
        <v>7</v>
      </c>
      <c r="E91" s="53" t="str">
        <f>DEC2HEX(((D91)*2^16),8)</f>
        <v>00070000</v>
      </c>
      <c r="F91" s="124" t="s">
        <v>807</v>
      </c>
      <c r="G91" s="693"/>
      <c r="H91" s="693"/>
      <c r="I91" s="694"/>
      <c r="J91" s="18"/>
      <c r="K91" s="65"/>
    </row>
    <row r="92" spans="1:11" ht="79.5" customHeight="1">
      <c r="B92" s="72" t="s">
        <v>158</v>
      </c>
      <c r="C92" s="60" t="s">
        <v>0</v>
      </c>
      <c r="D92" s="145">
        <f>IF(C31=32, (C26+C27+C28-6), (C26+C27+C28-6-1))-(IF(G41="ENABLED",3,0))</f>
        <v>7</v>
      </c>
      <c r="E92" s="53" t="str">
        <f>DEC2HEX(((D92)*2^8),8)</f>
        <v>00000700</v>
      </c>
      <c r="F92" s="127" t="s">
        <v>808</v>
      </c>
      <c r="G92" s="693"/>
      <c r="H92" s="693"/>
      <c r="I92" s="694"/>
      <c r="J92" s="18"/>
      <c r="K92" s="65"/>
    </row>
    <row r="93" spans="1:11" ht="92.25" customHeight="1" thickBot="1">
      <c r="B93" s="59" t="s">
        <v>159</v>
      </c>
      <c r="C93" s="62" t="s">
        <v>0</v>
      </c>
      <c r="D93" s="108">
        <f>IF(C31=32, (C26+C27+C28-6), (C26+C27+C28-6-1))-(IF(G41="ENABLED",3,0))</f>
        <v>7</v>
      </c>
      <c r="E93" s="54" t="str">
        <f>DEC2HEX(((D93)*2^0),8)</f>
        <v>00000007</v>
      </c>
      <c r="F93" s="128" t="s">
        <v>809</v>
      </c>
      <c r="G93" s="659"/>
      <c r="H93" s="659"/>
      <c r="I93" s="661"/>
      <c r="J93" s="18"/>
      <c r="K93" s="65"/>
    </row>
    <row r="94" spans="1:11" ht="3" customHeight="1" thickBot="1">
      <c r="B94" s="67"/>
      <c r="C94" s="68"/>
      <c r="D94" s="69"/>
      <c r="E94" s="70"/>
      <c r="F94" s="71"/>
      <c r="G94" s="36"/>
      <c r="H94" s="36"/>
      <c r="I94" s="55"/>
      <c r="J94" s="18"/>
      <c r="K94" s="65"/>
    </row>
    <row r="95" spans="1:11" ht="63.75">
      <c r="B95" s="57" t="s">
        <v>792</v>
      </c>
      <c r="C95" s="88" t="s">
        <v>0</v>
      </c>
      <c r="D95" s="379">
        <v>0</v>
      </c>
      <c r="E95" s="294" t="str">
        <f>DEC2HEX(((D95)*2^31),8)</f>
        <v>00000000</v>
      </c>
      <c r="F95" s="125" t="s">
        <v>810</v>
      </c>
      <c r="G95" s="665" t="s">
        <v>58</v>
      </c>
      <c r="H95" s="665" t="str">
        <f>"0x"&amp;DEC2HEX((HEX2DEC(C38)+536), 8)</f>
        <v>0x3D400218</v>
      </c>
      <c r="I95" s="651" t="str">
        <f>"0x"&amp;DEC2HEX((HEX2DEC(E96)+HEX2DEC(E97)+HEX2DEC(E98)+HEX2DEC(E99)+HEX2DEC(E100)), 8)</f>
        <v>0x07070707</v>
      </c>
      <c r="J95" s="18"/>
      <c r="K95" s="65"/>
    </row>
    <row r="96" spans="1:11" ht="168" customHeight="1">
      <c r="A96" s="6"/>
      <c r="B96" s="58" t="s">
        <v>256</v>
      </c>
      <c r="C96" s="89" t="s">
        <v>0</v>
      </c>
      <c r="D96" s="324">
        <v>0</v>
      </c>
      <c r="E96" s="295" t="str">
        <f>DEC2HEX(((D96)*2^29),8)</f>
        <v>00000000</v>
      </c>
      <c r="F96" s="124" t="s">
        <v>257</v>
      </c>
      <c r="G96" s="712"/>
      <c r="H96" s="712"/>
      <c r="I96" s="652"/>
      <c r="J96" s="18"/>
      <c r="K96" s="65"/>
    </row>
    <row r="97" spans="2:11" ht="90" customHeight="1">
      <c r="B97" s="58" t="s">
        <v>160</v>
      </c>
      <c r="C97" s="89" t="s">
        <v>0</v>
      </c>
      <c r="D97" s="346">
        <f>IF(15&lt;C25,D92,15)</f>
        <v>7</v>
      </c>
      <c r="E97" s="295" t="str">
        <f>DEC2HEX(((D97)*2^24),8)</f>
        <v>07000000</v>
      </c>
      <c r="F97" s="124" t="s">
        <v>811</v>
      </c>
      <c r="G97" s="712"/>
      <c r="H97" s="712"/>
      <c r="I97" s="652"/>
      <c r="J97" s="18"/>
      <c r="K97" s="65"/>
    </row>
    <row r="98" spans="2:11" ht="86.25" customHeight="1">
      <c r="B98" s="58" t="s">
        <v>161</v>
      </c>
      <c r="C98" s="89" t="s">
        <v>0</v>
      </c>
      <c r="D98" s="346">
        <f>IF(14&lt;C25,D92,15)</f>
        <v>7</v>
      </c>
      <c r="E98" s="295" t="str">
        <f>DEC2HEX(((D98)*2^16),8)</f>
        <v>00070000</v>
      </c>
      <c r="F98" s="124" t="s">
        <v>812</v>
      </c>
      <c r="G98" s="712"/>
      <c r="H98" s="712"/>
      <c r="I98" s="652"/>
      <c r="J98" s="18"/>
      <c r="K98" s="65"/>
    </row>
    <row r="99" spans="2:11" ht="87" customHeight="1">
      <c r="B99" s="58" t="s">
        <v>162</v>
      </c>
      <c r="C99" s="89" t="s">
        <v>0</v>
      </c>
      <c r="D99" s="145">
        <f>IF(13&lt;C25,D92,15)</f>
        <v>7</v>
      </c>
      <c r="E99" s="295" t="str">
        <f>DEC2HEX(((D99)*2^8),8)</f>
        <v>00000700</v>
      </c>
      <c r="F99" s="124" t="s">
        <v>813</v>
      </c>
      <c r="G99" s="712"/>
      <c r="H99" s="712"/>
      <c r="I99" s="652"/>
      <c r="J99" s="18"/>
      <c r="K99" s="65"/>
    </row>
    <row r="100" spans="2:11" ht="89.25" customHeight="1" thickBot="1">
      <c r="B100" s="59" t="s">
        <v>163</v>
      </c>
      <c r="C100" s="92" t="s">
        <v>0</v>
      </c>
      <c r="D100" s="112">
        <f>IF(12&lt;C25,D92,15)</f>
        <v>7</v>
      </c>
      <c r="E100" s="296" t="str">
        <f>DEC2HEX(((D100)*2^0),8)</f>
        <v>00000007</v>
      </c>
      <c r="F100" s="128" t="s">
        <v>814</v>
      </c>
      <c r="G100" s="704"/>
      <c r="H100" s="704"/>
      <c r="I100" s="653"/>
      <c r="J100" s="18"/>
      <c r="K100" s="65"/>
    </row>
    <row r="101" spans="2:11" ht="3.75" customHeight="1" thickBot="1">
      <c r="B101" s="74"/>
      <c r="C101" s="98"/>
      <c r="D101" s="111"/>
      <c r="E101" s="106"/>
      <c r="F101" s="247"/>
      <c r="G101" s="188"/>
      <c r="H101" s="188"/>
      <c r="I101" s="188"/>
      <c r="J101" s="248"/>
      <c r="K101" s="249"/>
    </row>
    <row r="102" spans="2:11" ht="89.25" customHeight="1">
      <c r="B102" s="57" t="s">
        <v>279</v>
      </c>
      <c r="C102" s="88" t="s">
        <v>0</v>
      </c>
      <c r="D102" s="110">
        <f>IF(17&lt;C25,D92,15)</f>
        <v>15</v>
      </c>
      <c r="E102" s="230" t="str">
        <f>DEC2HEX(((D102)*2^8),8)</f>
        <v>00000F00</v>
      </c>
      <c r="F102" s="125" t="s">
        <v>815</v>
      </c>
      <c r="G102" s="658" t="s">
        <v>277</v>
      </c>
      <c r="H102" s="658" t="str">
        <f>"0x"&amp;DEC2HEX((HEX2DEC(C38)+540), 8)</f>
        <v>0x3D40021C</v>
      </c>
      <c r="I102" s="711" t="str">
        <f>"0x"&amp;DEC2HEX((HEX2DEC(E102)+HEX2DEC(E103)), 8)</f>
        <v>0x00000F07</v>
      </c>
      <c r="J102" s="18"/>
      <c r="K102" s="65"/>
    </row>
    <row r="103" spans="2:11" ht="89.25" customHeight="1" thickBot="1">
      <c r="B103" s="59" t="s">
        <v>278</v>
      </c>
      <c r="C103" s="92" t="s">
        <v>0</v>
      </c>
      <c r="D103" s="112">
        <f>IF(16&lt;C25,D92,15)</f>
        <v>7</v>
      </c>
      <c r="E103" s="232" t="str">
        <f>DEC2HEX(((D103)*2^0),8)</f>
        <v>00000007</v>
      </c>
      <c r="F103" s="128" t="s">
        <v>816</v>
      </c>
      <c r="G103" s="659"/>
      <c r="H103" s="659"/>
      <c r="I103" s="661"/>
      <c r="J103" s="18"/>
      <c r="K103" s="65"/>
    </row>
    <row r="104" spans="2:11" ht="4.5" customHeight="1" thickBot="1">
      <c r="B104" s="74"/>
      <c r="C104" s="98"/>
      <c r="D104" s="111"/>
      <c r="E104" s="106"/>
      <c r="F104" s="247"/>
      <c r="G104" s="188"/>
      <c r="H104" s="188"/>
      <c r="I104" s="188"/>
      <c r="J104" s="18"/>
      <c r="K104" s="65"/>
    </row>
    <row r="105" spans="2:11" ht="76.5">
      <c r="B105" s="57" t="s">
        <v>284</v>
      </c>
      <c r="C105" s="88" t="s">
        <v>0</v>
      </c>
      <c r="D105" s="110">
        <f>IF(C28=1,63, IF(C31=32, 8, 0))</f>
        <v>63</v>
      </c>
      <c r="E105" s="230" t="str">
        <f>DEC2HEX(((D105)*2^8),8)</f>
        <v>00003F00</v>
      </c>
      <c r="F105" s="125" t="s">
        <v>817</v>
      </c>
      <c r="G105" s="658" t="s">
        <v>282</v>
      </c>
      <c r="H105" s="658" t="str">
        <f>"0x"&amp;DEC2HEX((HEX2DEC(C38)+544), 8)</f>
        <v>0x3D400220</v>
      </c>
      <c r="I105" s="711" t="str">
        <f>"0x"&amp;DEC2HEX((HEX2DEC(E105)+HEX2DEC(E106)), 8)</f>
        <v>0x00003F01</v>
      </c>
      <c r="J105" s="18"/>
      <c r="K105" s="65"/>
    </row>
    <row r="106" spans="2:11" ht="89.25" customHeight="1" thickBot="1">
      <c r="B106" s="59" t="s">
        <v>283</v>
      </c>
      <c r="C106" s="92" t="s">
        <v>0</v>
      </c>
      <c r="D106" s="112">
        <f>IF(C31=32, 1, IF(G41="ENABLED", 5, 9))</f>
        <v>1</v>
      </c>
      <c r="E106" s="232" t="str">
        <f>DEC2HEX(((D106)*2^0),8)</f>
        <v>00000001</v>
      </c>
      <c r="F106" s="128" t="s">
        <v>818</v>
      </c>
      <c r="G106" s="659"/>
      <c r="H106" s="659"/>
      <c r="I106" s="661"/>
      <c r="J106" s="18"/>
      <c r="K106" s="65"/>
    </row>
    <row r="107" spans="2:11" s="6" customFormat="1" ht="9" customHeight="1" thickBot="1">
      <c r="B107" s="74"/>
      <c r="C107" s="98"/>
      <c r="D107" s="111"/>
      <c r="E107" s="106"/>
      <c r="F107" s="247"/>
      <c r="G107" s="188"/>
      <c r="H107" s="188"/>
      <c r="I107" s="188"/>
      <c r="J107" s="248"/>
      <c r="K107" s="249"/>
    </row>
    <row r="108" spans="2:11" ht="102">
      <c r="B108" s="57" t="s">
        <v>289</v>
      </c>
      <c r="C108" s="64" t="s">
        <v>0</v>
      </c>
      <c r="D108" s="171">
        <v>0</v>
      </c>
      <c r="E108" s="230" t="str">
        <f>DEC2HEX(((D108)*2^24),8)</f>
        <v>00000000</v>
      </c>
      <c r="F108" s="125" t="s">
        <v>290</v>
      </c>
      <c r="G108" s="688" t="s">
        <v>285</v>
      </c>
      <c r="H108" s="688" t="str">
        <f>"0x"&amp;DEC2HEX((HEX2DEC(C38)+548), 8)</f>
        <v>0x3D400224</v>
      </c>
      <c r="I108" s="660" t="str">
        <f>"0x"&amp;DEC2HEX((HEX2DEC(E108)+HEX2DEC(E109)+HEX2DEC(E110)+HEX2DEC(E111)), 8)</f>
        <v>0x00000000</v>
      </c>
      <c r="J108" s="18"/>
      <c r="K108" s="65"/>
    </row>
    <row r="109" spans="2:11" ht="114" customHeight="1">
      <c r="B109" s="58" t="s">
        <v>288</v>
      </c>
      <c r="C109" s="60" t="s">
        <v>0</v>
      </c>
      <c r="D109" s="179">
        <v>0</v>
      </c>
      <c r="E109" s="231" t="str">
        <f>DEC2HEX(((D109)*2^16),8)</f>
        <v>00000000</v>
      </c>
      <c r="F109" s="124" t="s">
        <v>291</v>
      </c>
      <c r="G109" s="693"/>
      <c r="H109" s="693"/>
      <c r="I109" s="694"/>
      <c r="J109" s="18"/>
      <c r="K109" s="65"/>
    </row>
    <row r="110" spans="2:11" ht="102">
      <c r="B110" s="72" t="s">
        <v>287</v>
      </c>
      <c r="C110" s="60" t="s">
        <v>0</v>
      </c>
      <c r="D110" s="179">
        <v>0</v>
      </c>
      <c r="E110" s="231" t="str">
        <f>DEC2HEX(((D110)*2^8),8)</f>
        <v>00000000</v>
      </c>
      <c r="F110" s="200" t="s">
        <v>292</v>
      </c>
      <c r="G110" s="693"/>
      <c r="H110" s="693"/>
      <c r="I110" s="694"/>
      <c r="J110" s="18"/>
      <c r="K110" s="65"/>
    </row>
    <row r="111" spans="2:11" ht="102.75" thickBot="1">
      <c r="B111" s="59" t="s">
        <v>286</v>
      </c>
      <c r="C111" s="62" t="s">
        <v>0</v>
      </c>
      <c r="D111" s="250">
        <v>0</v>
      </c>
      <c r="E111" s="232" t="str">
        <f>DEC2HEX(((D111)*2^0),8)</f>
        <v>00000000</v>
      </c>
      <c r="F111" s="128" t="s">
        <v>293</v>
      </c>
      <c r="G111" s="659"/>
      <c r="H111" s="659"/>
      <c r="I111" s="661"/>
      <c r="J111" s="18"/>
      <c r="K111" s="65"/>
    </row>
    <row r="112" spans="2:11" ht="5.25" customHeight="1" thickBot="1">
      <c r="B112" s="73"/>
      <c r="C112" s="74"/>
      <c r="D112" s="251"/>
      <c r="E112" s="36"/>
      <c r="F112" s="131"/>
      <c r="G112" s="78"/>
      <c r="H112" s="78"/>
      <c r="I112" s="78"/>
      <c r="J112" s="18"/>
      <c r="K112" s="65"/>
    </row>
    <row r="113" spans="2:11" ht="102">
      <c r="B113" s="57" t="s">
        <v>298</v>
      </c>
      <c r="C113" s="64" t="s">
        <v>0</v>
      </c>
      <c r="D113" s="171">
        <v>0</v>
      </c>
      <c r="E113" s="230" t="str">
        <f>DEC2HEX(((D113)*2^24),8)</f>
        <v>00000000</v>
      </c>
      <c r="F113" s="125" t="s">
        <v>299</v>
      </c>
      <c r="G113" s="688" t="s">
        <v>294</v>
      </c>
      <c r="H113" s="688" t="str">
        <f>"0x"&amp;DEC2HEX((HEX2DEC(C38)+552), 8)</f>
        <v>0x3D400228</v>
      </c>
      <c r="I113" s="660" t="str">
        <f>"0x"&amp;DEC2HEX((HEX2DEC(E113)+HEX2DEC(E114)+HEX2DEC(E115)+HEX2DEC(E116)), 8)</f>
        <v>0x00000000</v>
      </c>
      <c r="J113" s="18"/>
      <c r="K113" s="65"/>
    </row>
    <row r="114" spans="2:11" ht="114" customHeight="1">
      <c r="B114" s="58" t="s">
        <v>297</v>
      </c>
      <c r="C114" s="60" t="s">
        <v>0</v>
      </c>
      <c r="D114" s="179">
        <v>0</v>
      </c>
      <c r="E114" s="231" t="str">
        <f>DEC2HEX(((D114)*2^16),8)</f>
        <v>00000000</v>
      </c>
      <c r="F114" s="124" t="s">
        <v>300</v>
      </c>
      <c r="G114" s="693"/>
      <c r="H114" s="693"/>
      <c r="I114" s="694"/>
      <c r="J114" s="18"/>
      <c r="K114" s="65"/>
    </row>
    <row r="115" spans="2:11" ht="102">
      <c r="B115" s="72" t="s">
        <v>296</v>
      </c>
      <c r="C115" s="60" t="s">
        <v>0</v>
      </c>
      <c r="D115" s="179">
        <v>0</v>
      </c>
      <c r="E115" s="231" t="str">
        <f>DEC2HEX(((D115)*2^8),8)</f>
        <v>00000000</v>
      </c>
      <c r="F115" s="200" t="s">
        <v>301</v>
      </c>
      <c r="G115" s="693"/>
      <c r="H115" s="693"/>
      <c r="I115" s="694"/>
      <c r="J115" s="18"/>
      <c r="K115" s="65"/>
    </row>
    <row r="116" spans="2:11" ht="102.75" thickBot="1">
      <c r="B116" s="59" t="s">
        <v>295</v>
      </c>
      <c r="C116" s="62" t="s">
        <v>0</v>
      </c>
      <c r="D116" s="250">
        <v>0</v>
      </c>
      <c r="E116" s="232" t="str">
        <f>DEC2HEX(((D116)*2^0),8)</f>
        <v>00000000</v>
      </c>
      <c r="F116" s="128" t="s">
        <v>302</v>
      </c>
      <c r="G116" s="659"/>
      <c r="H116" s="659"/>
      <c r="I116" s="661"/>
      <c r="J116" s="18"/>
      <c r="K116" s="65"/>
    </row>
    <row r="117" spans="2:11" ht="6.75" customHeight="1" thickBot="1">
      <c r="B117" s="73"/>
      <c r="C117" s="74"/>
      <c r="D117" s="251"/>
      <c r="E117" s="36"/>
      <c r="F117" s="131"/>
      <c r="G117" s="78"/>
      <c r="H117" s="78"/>
      <c r="I117" s="78"/>
      <c r="J117" s="18"/>
      <c r="K117" s="65"/>
    </row>
    <row r="118" spans="2:11" ht="89.25">
      <c r="B118" s="57" t="s">
        <v>306</v>
      </c>
      <c r="C118" s="64" t="s">
        <v>0</v>
      </c>
      <c r="D118" s="171">
        <v>0</v>
      </c>
      <c r="E118" s="230" t="str">
        <f>DEC2HEX(((D118)*2^24),8)</f>
        <v>00000000</v>
      </c>
      <c r="F118" s="125" t="s">
        <v>308</v>
      </c>
      <c r="G118" s="688" t="s">
        <v>309</v>
      </c>
      <c r="H118" s="688" t="str">
        <f>"0x"&amp;DEC2HEX((HEX2DEC(C38)+556), 8)</f>
        <v>0x3D40022C</v>
      </c>
      <c r="I118" s="660" t="str">
        <f>"0x"&amp;DEC2HEX((HEX2DEC(E118)+HEX2DEC(E119)+HEX2DEC(E120)), 8)</f>
        <v>0x00000000</v>
      </c>
      <c r="J118" s="18"/>
      <c r="K118" s="65"/>
    </row>
    <row r="119" spans="2:11" ht="114" customHeight="1">
      <c r="B119" s="58" t="s">
        <v>305</v>
      </c>
      <c r="C119" s="60" t="s">
        <v>0</v>
      </c>
      <c r="D119" s="179">
        <v>0</v>
      </c>
      <c r="E119" s="231" t="str">
        <f>DEC2HEX(((D119)*2^16),8)</f>
        <v>00000000</v>
      </c>
      <c r="F119" s="124" t="s">
        <v>307</v>
      </c>
      <c r="G119" s="693"/>
      <c r="H119" s="693"/>
      <c r="I119" s="694"/>
      <c r="J119" s="18"/>
      <c r="K119" s="65"/>
    </row>
    <row r="120" spans="2:11" ht="102.75" thickBot="1">
      <c r="B120" s="59" t="s">
        <v>303</v>
      </c>
      <c r="C120" s="62" t="s">
        <v>0</v>
      </c>
      <c r="D120" s="180">
        <v>0</v>
      </c>
      <c r="E120" s="232" t="str">
        <f>DEC2HEX(((D120)*2^8),8)</f>
        <v>00000000</v>
      </c>
      <c r="F120" s="128" t="s">
        <v>304</v>
      </c>
      <c r="G120" s="659"/>
      <c r="H120" s="659"/>
      <c r="I120" s="661"/>
      <c r="J120" s="18"/>
      <c r="K120" s="65"/>
    </row>
    <row r="121" spans="2:11" s="6" customFormat="1" ht="26.25" customHeight="1" thickBot="1">
      <c r="B121" s="74"/>
      <c r="C121" s="98"/>
      <c r="D121" s="111"/>
      <c r="E121" s="106"/>
      <c r="F121" s="247"/>
      <c r="G121" s="188"/>
      <c r="H121" s="188"/>
      <c r="I121" s="188"/>
      <c r="J121" s="248"/>
      <c r="K121" s="249"/>
    </row>
    <row r="122" spans="2:11" ht="39" thickBot="1">
      <c r="B122" s="14" t="s">
        <v>75</v>
      </c>
      <c r="C122" s="14" t="s">
        <v>2</v>
      </c>
      <c r="D122" s="14" t="s">
        <v>19</v>
      </c>
      <c r="E122" s="14" t="s">
        <v>6</v>
      </c>
      <c r="F122" s="15" t="s">
        <v>1</v>
      </c>
      <c r="G122" s="35" t="s">
        <v>3</v>
      </c>
      <c r="H122" s="16" t="s">
        <v>220</v>
      </c>
      <c r="I122" s="16" t="s">
        <v>4</v>
      </c>
      <c r="J122" s="18"/>
      <c r="K122" s="65"/>
    </row>
    <row r="123" spans="2:11" ht="3.75" customHeight="1" thickBot="1">
      <c r="B123" s="73"/>
      <c r="C123" s="74"/>
      <c r="D123" s="75"/>
      <c r="E123" s="36"/>
      <c r="F123" s="71"/>
      <c r="G123" s="36"/>
      <c r="H123" s="36"/>
      <c r="I123" s="55"/>
      <c r="J123" s="18"/>
      <c r="K123" s="65"/>
    </row>
    <row r="124" spans="2:11" ht="153">
      <c r="B124" s="57" t="s">
        <v>222</v>
      </c>
      <c r="C124" s="88" t="s">
        <v>0</v>
      </c>
      <c r="D124" s="56">
        <v>2</v>
      </c>
      <c r="E124" s="294" t="str">
        <f>DEC2HEX(((D124)*2^20),8)</f>
        <v>00200000</v>
      </c>
      <c r="F124" s="33" t="s">
        <v>223</v>
      </c>
      <c r="G124" s="688" t="s">
        <v>221</v>
      </c>
      <c r="H124" s="688" t="str">
        <f>"0x"&amp;DEC2HEX((HEX2DEC(C38)+HEX2DEC(50)), 8)</f>
        <v>0x3D400050</v>
      </c>
      <c r="I124" s="660" t="str">
        <f>"0x"&amp;DEC2HEX((HEX2DEC(E124)+HEX2DEC(E125)+HEX2DEC(E126)+HEX2DEC(E127)), 8)</f>
        <v>0x00210070</v>
      </c>
      <c r="J124" s="732"/>
      <c r="K124" s="65"/>
    </row>
    <row r="125" spans="2:11" ht="176.25" customHeight="1">
      <c r="B125" s="58" t="s">
        <v>224</v>
      </c>
      <c r="C125" s="89" t="s">
        <v>0</v>
      </c>
      <c r="D125" s="119">
        <v>16</v>
      </c>
      <c r="E125" s="295" t="str">
        <f>DEC2HEX(((D125)*2^12),8)</f>
        <v>00010000</v>
      </c>
      <c r="F125" s="17" t="s">
        <v>225</v>
      </c>
      <c r="G125" s="689"/>
      <c r="H125" s="689"/>
      <c r="I125" s="691"/>
      <c r="J125" s="732"/>
      <c r="K125" s="65"/>
    </row>
    <row r="126" spans="2:11" ht="305.25" customHeight="1">
      <c r="B126" s="58" t="s">
        <v>226</v>
      </c>
      <c r="C126" s="89" t="s">
        <v>0</v>
      </c>
      <c r="D126" s="192">
        <v>7</v>
      </c>
      <c r="E126" s="295" t="str">
        <f>DEC2HEX(((D126)*2^4),8)</f>
        <v>00000070</v>
      </c>
      <c r="F126" s="17" t="s">
        <v>227</v>
      </c>
      <c r="G126" s="689"/>
      <c r="H126" s="689"/>
      <c r="I126" s="691"/>
      <c r="J126" s="732"/>
      <c r="K126" s="65"/>
    </row>
    <row r="127" spans="2:11" ht="102.75" thickBot="1">
      <c r="B127" s="59" t="s">
        <v>228</v>
      </c>
      <c r="C127" s="92" t="s">
        <v>0</v>
      </c>
      <c r="D127" s="193">
        <v>0</v>
      </c>
      <c r="E127" s="296" t="str">
        <f>DEC2HEX(((D127)*2^2),8)</f>
        <v>00000000</v>
      </c>
      <c r="F127" s="34" t="s">
        <v>229</v>
      </c>
      <c r="G127" s="690"/>
      <c r="H127" s="690"/>
      <c r="I127" s="692"/>
      <c r="J127" s="732"/>
      <c r="K127" s="65"/>
    </row>
    <row r="128" spans="2:11">
      <c r="B128" s="73"/>
      <c r="C128" s="98"/>
      <c r="D128" s="75"/>
      <c r="E128" s="36"/>
      <c r="F128" s="71"/>
      <c r="G128" s="36"/>
      <c r="H128" s="36"/>
      <c r="I128" s="55"/>
      <c r="J128" s="212"/>
      <c r="K128" s="65"/>
    </row>
    <row r="129" spans="2:11" ht="89.25">
      <c r="B129" s="274" t="s">
        <v>526</v>
      </c>
      <c r="C129" s="89" t="s">
        <v>0</v>
      </c>
      <c r="D129" s="192">
        <v>1</v>
      </c>
      <c r="E129" s="272" t="str">
        <f>DEC2HEX(((D129)*2^16),8)</f>
        <v>00010000</v>
      </c>
      <c r="F129" s="17" t="s">
        <v>529</v>
      </c>
      <c r="G129" s="726" t="s">
        <v>525</v>
      </c>
      <c r="H129" s="726" t="str">
        <f>"0x"&amp;DEC2HEX((HEX2DEC(C38)+HEX2DEC(54)), 8)</f>
        <v>0x3D400054</v>
      </c>
      <c r="I129" s="728" t="str">
        <f>"0x"&amp;DEC2HEX((HEX2DEC(E129)+HEX2DEC(E130)), 8)</f>
        <v>0x00010008</v>
      </c>
      <c r="J129" s="212"/>
      <c r="K129" s="65"/>
    </row>
    <row r="130" spans="2:11" ht="89.25">
      <c r="B130" s="274" t="s">
        <v>527</v>
      </c>
      <c r="C130" s="89" t="s">
        <v>0</v>
      </c>
      <c r="D130" s="192">
        <v>8</v>
      </c>
      <c r="E130" s="272" t="str">
        <f>DEC2HEX(((D130)*2^0),8)</f>
        <v>00000008</v>
      </c>
      <c r="F130" s="17" t="s">
        <v>528</v>
      </c>
      <c r="G130" s="727"/>
      <c r="H130" s="727"/>
      <c r="I130" s="729"/>
      <c r="J130" s="212"/>
      <c r="K130" s="65"/>
    </row>
    <row r="131" spans="2:11" ht="13.5" thickBot="1">
      <c r="B131" s="73"/>
      <c r="C131" s="98"/>
      <c r="D131" s="75"/>
      <c r="E131" s="36"/>
      <c r="F131" s="71"/>
      <c r="G131" s="36"/>
      <c r="H131" s="36"/>
      <c r="I131" s="55"/>
      <c r="J131" s="212"/>
      <c r="K131" s="65"/>
    </row>
    <row r="132" spans="2:11" ht="63.75">
      <c r="B132" s="57" t="s">
        <v>310</v>
      </c>
      <c r="C132" s="88" t="s">
        <v>0</v>
      </c>
      <c r="D132" s="56">
        <v>0</v>
      </c>
      <c r="E132" s="230" t="str">
        <f>DEC2HEX(((D132)*2^16),8)</f>
        <v>00000000</v>
      </c>
      <c r="F132" s="33" t="s">
        <v>315</v>
      </c>
      <c r="G132" s="665" t="s">
        <v>314</v>
      </c>
      <c r="H132" s="665" t="str">
        <f>"0x"&amp;DEC2HEX((HEX2DEC(C38)+HEX2DEC(60)), 8)</f>
        <v>0x3D400060</v>
      </c>
      <c r="I132" s="651" t="str">
        <f>"0x"&amp;DEC2HEX((HEX2DEC(E132)+HEX2DEC(E133)+HEX2DEC(E134)+HEX2DEC(E135)), 8)</f>
        <v>0x00000000</v>
      </c>
      <c r="J132" s="651" t="str">
        <f>"0x"&amp;DEC2HEX((HEX2DEC(E132)+HEX2DEC(E133)+HEX2DEC(E134)+1), 8)</f>
        <v>0x00000001</v>
      </c>
      <c r="K132" s="489" t="s">
        <v>1196</v>
      </c>
    </row>
    <row r="133" spans="2:11" ht="114.75">
      <c r="B133" s="58" t="s">
        <v>311</v>
      </c>
      <c r="C133" s="89" t="s">
        <v>0</v>
      </c>
      <c r="D133" s="192">
        <v>0</v>
      </c>
      <c r="E133" s="231" t="str">
        <f>DEC2HEX(((D133)*2^4),8)</f>
        <v>00000000</v>
      </c>
      <c r="F133" s="17" t="s">
        <v>316</v>
      </c>
      <c r="G133" s="712"/>
      <c r="H133" s="712"/>
      <c r="I133" s="652"/>
      <c r="J133" s="652"/>
      <c r="K133" s="65"/>
    </row>
    <row r="134" spans="2:11" ht="76.5">
      <c r="B134" s="58" t="s">
        <v>312</v>
      </c>
      <c r="C134" s="89" t="s">
        <v>0</v>
      </c>
      <c r="D134" s="119">
        <v>0</v>
      </c>
      <c r="E134" s="231" t="str">
        <f>DEC2HEX(((D134)*2^1),8)</f>
        <v>00000000</v>
      </c>
      <c r="F134" s="17" t="s">
        <v>317</v>
      </c>
      <c r="G134" s="712"/>
      <c r="H134" s="712"/>
      <c r="I134" s="652"/>
      <c r="J134" s="652"/>
      <c r="K134" s="65"/>
    </row>
    <row r="135" spans="2:11" ht="153.75" thickBot="1">
      <c r="B135" s="59" t="s">
        <v>313</v>
      </c>
      <c r="C135" s="92" t="s">
        <v>0</v>
      </c>
      <c r="D135" s="63">
        <v>0</v>
      </c>
      <c r="E135" s="232" t="str">
        <f>DEC2HEX(((D135)*2^0),8)</f>
        <v>00000000</v>
      </c>
      <c r="F135" s="34" t="s">
        <v>318</v>
      </c>
      <c r="G135" s="704"/>
      <c r="H135" s="704"/>
      <c r="I135" s="653"/>
      <c r="J135" s="653"/>
      <c r="K135" s="65"/>
    </row>
    <row r="136" spans="2:11" ht="14.25" customHeight="1" thickBot="1">
      <c r="B136" s="73"/>
      <c r="C136" s="74"/>
      <c r="D136" s="75"/>
      <c r="E136" s="36"/>
      <c r="F136" s="71"/>
      <c r="G136" s="36"/>
      <c r="H136" s="36"/>
      <c r="I136" s="55"/>
      <c r="J136" s="18"/>
      <c r="K136" s="65"/>
    </row>
    <row r="137" spans="2:11" ht="331.5">
      <c r="B137" s="120" t="s">
        <v>122</v>
      </c>
      <c r="C137" s="269">
        <v>7800</v>
      </c>
      <c r="D137" s="110">
        <f>IF(D133=1, (ROUNDDOWN(((C137/2/C33/2)/32), 0)), (ROUNDDOWN(((C137/C33)/64), 0)))</f>
        <v>195</v>
      </c>
      <c r="E137" s="198" t="str">
        <f>DEC2HEX(((D137)*2^16),8)</f>
        <v>00C30000</v>
      </c>
      <c r="F137" s="129" t="s">
        <v>240</v>
      </c>
      <c r="G137" s="688" t="s">
        <v>36</v>
      </c>
      <c r="H137" s="688" t="str">
        <f>"0x"&amp;DEC2HEX((HEX2DEC(C38)+HEX2DEC(64)), 8)</f>
        <v>0x3D400064</v>
      </c>
      <c r="I137" s="660" t="str">
        <f>"0x"&amp;DEC2HEX((HEX2DEC(E137)+HEX2DEC(E138)), 8)</f>
        <v>0x00C30118</v>
      </c>
      <c r="J137" s="181"/>
      <c r="K137" s="65"/>
    </row>
    <row r="138" spans="2:11" ht="230.25" thickBot="1">
      <c r="B138" s="136" t="s">
        <v>123</v>
      </c>
      <c r="C138" s="151">
        <f>VLOOKUP(D133, $N$8:$R$11, MATCH(C20, $N$8:$R$8, 0), FALSE)</f>
        <v>350</v>
      </c>
      <c r="D138" s="108">
        <f>ROUNDUP((C138/C33/2),0)</f>
        <v>280</v>
      </c>
      <c r="E138" s="199" t="str">
        <f>DEC2HEX(((D138)*2^0),8)</f>
        <v>00000118</v>
      </c>
      <c r="F138" s="130" t="s">
        <v>241</v>
      </c>
      <c r="G138" s="659"/>
      <c r="H138" s="659"/>
      <c r="I138" s="661"/>
      <c r="J138" s="18"/>
      <c r="K138" s="65"/>
    </row>
    <row r="139" spans="2:11" ht="15.75" thickBot="1">
      <c r="B139" s="74"/>
      <c r="C139" s="111"/>
      <c r="D139" s="111"/>
      <c r="E139" s="36"/>
      <c r="F139" s="252"/>
      <c r="G139" s="78"/>
      <c r="H139" s="78"/>
      <c r="I139" s="78"/>
      <c r="J139" s="18"/>
      <c r="K139" s="65"/>
    </row>
    <row r="140" spans="2:11" ht="63.75">
      <c r="B140" s="120" t="s">
        <v>325</v>
      </c>
      <c r="C140" s="254" t="s">
        <v>0</v>
      </c>
      <c r="D140" s="171">
        <v>0</v>
      </c>
      <c r="E140" s="230" t="str">
        <f>DEC2HEX(((D140)*2^16),8)</f>
        <v>00000000</v>
      </c>
      <c r="F140" s="129" t="s">
        <v>326</v>
      </c>
      <c r="G140" s="710" t="s">
        <v>333</v>
      </c>
      <c r="H140" s="658" t="str">
        <f>"0x"&amp;DEC2HEX((HEX2DEC(C38)+192), 8)</f>
        <v>0x3D4000C0</v>
      </c>
      <c r="I140" s="711" t="str">
        <f>"0x"&amp;DEC2HEX((HEX2DEC(E140)+HEX2DEC(E141)+HEX2DEC(E142)+HEX2DEC(E143)+HEX2DEC(E144)+HEX2DEC(E145)+HEX2DEC(E146)), 8)</f>
        <v>0x00000000</v>
      </c>
      <c r="J140" s="18"/>
      <c r="K140" s="65"/>
    </row>
    <row r="141" spans="2:11" ht="127.5">
      <c r="B141" s="121" t="s">
        <v>324</v>
      </c>
      <c r="C141" s="253" t="s">
        <v>0</v>
      </c>
      <c r="D141" s="179">
        <v>0</v>
      </c>
      <c r="E141" s="231" t="str">
        <f>DEC2HEX(((D141)*2^15),8)</f>
        <v>00000000</v>
      </c>
      <c r="F141" s="191" t="s">
        <v>327</v>
      </c>
      <c r="G141" s="693"/>
      <c r="H141" s="693"/>
      <c r="I141" s="694"/>
      <c r="J141" s="18"/>
      <c r="K141" s="65"/>
    </row>
    <row r="142" spans="2:11" ht="63.75">
      <c r="B142" s="121" t="s">
        <v>322</v>
      </c>
      <c r="C142" s="253" t="s">
        <v>0</v>
      </c>
      <c r="D142" s="179">
        <v>0</v>
      </c>
      <c r="E142" s="231" t="str">
        <f>DEC2HEX(((D142)*2^8),8)</f>
        <v>00000000</v>
      </c>
      <c r="F142" s="191" t="s">
        <v>328</v>
      </c>
      <c r="G142" s="693"/>
      <c r="H142" s="693"/>
      <c r="I142" s="694"/>
      <c r="J142" s="18"/>
      <c r="K142" s="65"/>
    </row>
    <row r="143" spans="2:11" ht="63.75">
      <c r="B143" s="121" t="s">
        <v>323</v>
      </c>
      <c r="C143" s="253" t="s">
        <v>0</v>
      </c>
      <c r="D143" s="179">
        <v>0</v>
      </c>
      <c r="E143" s="231" t="str">
        <f>DEC2HEX(((D143)*2^4),8)</f>
        <v>00000000</v>
      </c>
      <c r="F143" s="191" t="s">
        <v>329</v>
      </c>
      <c r="G143" s="693"/>
      <c r="H143" s="693"/>
      <c r="I143" s="694"/>
      <c r="J143" s="18"/>
      <c r="K143" s="65"/>
    </row>
    <row r="144" spans="2:11" ht="63.75">
      <c r="B144" s="121" t="s">
        <v>319</v>
      </c>
      <c r="C144" s="253" t="s">
        <v>0</v>
      </c>
      <c r="D144" s="179">
        <v>0</v>
      </c>
      <c r="E144" s="231" t="str">
        <f>DEC2HEX(((D144)*2^2),8)</f>
        <v>00000000</v>
      </c>
      <c r="F144" s="191" t="s">
        <v>330</v>
      </c>
      <c r="G144" s="693"/>
      <c r="H144" s="693"/>
      <c r="I144" s="694"/>
      <c r="J144" s="18"/>
      <c r="K144" s="65"/>
    </row>
    <row r="145" spans="2:11" ht="51">
      <c r="B145" s="121" t="s">
        <v>320</v>
      </c>
      <c r="C145" s="253" t="s">
        <v>0</v>
      </c>
      <c r="D145" s="179">
        <v>0</v>
      </c>
      <c r="E145" s="231" t="str">
        <f>DEC2HEX(((D145)*2^1),8)</f>
        <v>00000000</v>
      </c>
      <c r="F145" s="191" t="s">
        <v>331</v>
      </c>
      <c r="G145" s="693"/>
      <c r="H145" s="693"/>
      <c r="I145" s="694"/>
      <c r="J145" s="18"/>
      <c r="K145" s="65"/>
    </row>
    <row r="146" spans="2:11" ht="51.75" thickBot="1">
      <c r="B146" s="136" t="s">
        <v>321</v>
      </c>
      <c r="C146" s="255" t="s">
        <v>0</v>
      </c>
      <c r="D146" s="180">
        <v>0</v>
      </c>
      <c r="E146" s="232" t="str">
        <f>DEC2HEX(((D146)*2^0),8)</f>
        <v>00000000</v>
      </c>
      <c r="F146" s="130" t="s">
        <v>332</v>
      </c>
      <c r="G146" s="659"/>
      <c r="H146" s="659"/>
      <c r="I146" s="661"/>
      <c r="J146" s="18"/>
      <c r="K146" s="65"/>
    </row>
    <row r="147" spans="2:11" ht="15.75" thickBot="1">
      <c r="B147" s="74"/>
      <c r="C147" s="111"/>
      <c r="D147" s="111"/>
      <c r="E147" s="36"/>
      <c r="F147" s="252"/>
      <c r="G147" s="78"/>
      <c r="H147" s="78"/>
      <c r="I147" s="78"/>
      <c r="J147" s="18"/>
      <c r="K147" s="65"/>
    </row>
    <row r="148" spans="2:11" ht="153">
      <c r="B148" s="120" t="s">
        <v>335</v>
      </c>
      <c r="C148" s="358" t="s">
        <v>0</v>
      </c>
      <c r="D148" s="171">
        <v>0</v>
      </c>
      <c r="E148" s="359" t="str">
        <f>DEC2HEX(((D148)*2^24),8)</f>
        <v>00000000</v>
      </c>
      <c r="F148" s="129" t="s">
        <v>352</v>
      </c>
      <c r="G148" s="710" t="s">
        <v>334</v>
      </c>
      <c r="H148" s="658" t="str">
        <f>"0x"&amp;DEC2HEX((HEX2DEC(C38)+196), 8)</f>
        <v>0x3D4000C4</v>
      </c>
      <c r="I148" s="711" t="str">
        <f>"0x"&amp;DEC2HEX((HEX2DEC(E148)+HEX2DEC(E149)+HEX2DEC(E150)+HEX2DEC(E151)+HEX2DEC(E152)+HEX2DEC(E153)+HEX2DEC(E154)+HEX2DEC(E155)+HEX2DEC(E156)), 8)</f>
        <v>0x00001000</v>
      </c>
      <c r="J148" s="18"/>
      <c r="K148" s="65"/>
    </row>
    <row r="149" spans="2:11" ht="242.25">
      <c r="B149" s="121" t="s">
        <v>336</v>
      </c>
      <c r="C149" s="256" t="s">
        <v>0</v>
      </c>
      <c r="D149" s="179">
        <v>0</v>
      </c>
      <c r="E149" s="275" t="str">
        <f>DEC2HEX(((D149)*2^16),8)</f>
        <v>00000000</v>
      </c>
      <c r="F149" s="191" t="s">
        <v>351</v>
      </c>
      <c r="G149" s="693"/>
      <c r="H149" s="693"/>
      <c r="I149" s="694"/>
      <c r="J149" s="18"/>
      <c r="K149" s="65"/>
    </row>
    <row r="150" spans="2:11" ht="51">
      <c r="B150" s="121" t="s">
        <v>337</v>
      </c>
      <c r="C150" s="256" t="s">
        <v>0</v>
      </c>
      <c r="D150" s="179">
        <v>0</v>
      </c>
      <c r="E150" s="275" t="str">
        <f>DEC2HEX(((D150)*2^15),8)</f>
        <v>00000000</v>
      </c>
      <c r="F150" s="191" t="s">
        <v>350</v>
      </c>
      <c r="G150" s="693"/>
      <c r="H150" s="693"/>
      <c r="I150" s="694"/>
      <c r="J150" s="18"/>
      <c r="K150" s="65"/>
    </row>
    <row r="151" spans="2:11" ht="127.5">
      <c r="B151" s="121" t="s">
        <v>338</v>
      </c>
      <c r="C151" s="256" t="s">
        <v>0</v>
      </c>
      <c r="D151" s="179">
        <v>1</v>
      </c>
      <c r="E151" s="275" t="str">
        <f>DEC2HEX(((D151)*2^12),8)</f>
        <v>00001000</v>
      </c>
      <c r="F151" s="191" t="s">
        <v>349</v>
      </c>
      <c r="G151" s="693"/>
      <c r="H151" s="693"/>
      <c r="I151" s="694"/>
      <c r="J151" s="181"/>
      <c r="K151" s="65"/>
    </row>
    <row r="152" spans="2:11" ht="306">
      <c r="B152" s="121" t="s">
        <v>339</v>
      </c>
      <c r="C152" s="256" t="s">
        <v>0</v>
      </c>
      <c r="D152" s="179">
        <v>0</v>
      </c>
      <c r="E152" s="275" t="str">
        <f>DEC2HEX(((D152)*2^9),8)</f>
        <v>00000000</v>
      </c>
      <c r="F152" s="191" t="s">
        <v>348</v>
      </c>
      <c r="G152" s="693"/>
      <c r="H152" s="693"/>
      <c r="I152" s="694"/>
      <c r="J152" s="18"/>
      <c r="K152" s="65"/>
    </row>
    <row r="153" spans="2:11" ht="102">
      <c r="B153" s="121" t="s">
        <v>340</v>
      </c>
      <c r="C153" s="256" t="s">
        <v>0</v>
      </c>
      <c r="D153" s="179">
        <v>0</v>
      </c>
      <c r="E153" s="275" t="str">
        <f>DEC2HEX(((D153)*2^8),8)</f>
        <v>00000000</v>
      </c>
      <c r="F153" s="191" t="s">
        <v>347</v>
      </c>
      <c r="G153" s="693"/>
      <c r="H153" s="693"/>
      <c r="I153" s="694"/>
      <c r="J153" s="18"/>
      <c r="K153" s="65"/>
    </row>
    <row r="154" spans="2:11" ht="63.75">
      <c r="B154" s="121" t="s">
        <v>341</v>
      </c>
      <c r="C154" s="256" t="s">
        <v>0</v>
      </c>
      <c r="D154" s="179">
        <v>0</v>
      </c>
      <c r="E154" s="275" t="str">
        <f>DEC2HEX(((D154)*2^7),8)</f>
        <v>00000000</v>
      </c>
      <c r="F154" s="191" t="s">
        <v>346</v>
      </c>
      <c r="G154" s="693"/>
      <c r="H154" s="693"/>
      <c r="I154" s="694"/>
      <c r="J154" s="18"/>
      <c r="K154" s="65"/>
    </row>
    <row r="155" spans="2:11" ht="76.5">
      <c r="B155" s="121" t="s">
        <v>342</v>
      </c>
      <c r="C155" s="256" t="s">
        <v>0</v>
      </c>
      <c r="D155" s="504">
        <v>0</v>
      </c>
      <c r="E155" s="275" t="str">
        <f>DEC2HEX(((D155)*2^4),8)</f>
        <v>00000000</v>
      </c>
      <c r="F155" s="191" t="s">
        <v>345</v>
      </c>
      <c r="G155" s="693"/>
      <c r="H155" s="693"/>
      <c r="I155" s="694"/>
      <c r="J155" s="181"/>
      <c r="K155" s="65"/>
    </row>
    <row r="156" spans="2:11" ht="90" thickBot="1">
      <c r="B156" s="136" t="s">
        <v>343</v>
      </c>
      <c r="C156" s="353" t="s">
        <v>0</v>
      </c>
      <c r="D156" s="180">
        <v>0</v>
      </c>
      <c r="E156" s="360" t="str">
        <f>DEC2HEX(((D156)*2^0),8)</f>
        <v>00000000</v>
      </c>
      <c r="F156" s="130" t="s">
        <v>344</v>
      </c>
      <c r="G156" s="659"/>
      <c r="H156" s="659"/>
      <c r="I156" s="661"/>
      <c r="J156" s="18"/>
      <c r="K156" s="65"/>
    </row>
    <row r="157" spans="2:11" ht="13.5" thickBot="1">
      <c r="B157" s="73"/>
      <c r="C157" s="74"/>
      <c r="D157" s="75"/>
      <c r="E157" s="36"/>
      <c r="F157" s="71"/>
      <c r="G157" s="36"/>
      <c r="H157" s="36"/>
      <c r="I157" s="55"/>
      <c r="J157" s="18"/>
      <c r="K157" s="65"/>
    </row>
    <row r="158" spans="2:11" ht="127.5" customHeight="1">
      <c r="B158" s="57" t="s">
        <v>85</v>
      </c>
      <c r="C158" s="64" t="s">
        <v>0</v>
      </c>
      <c r="D158" s="56">
        <v>3</v>
      </c>
      <c r="E158" s="230" t="str">
        <f>DEC2HEX(((D158)*2^30),8)</f>
        <v>C0000000</v>
      </c>
      <c r="F158" s="125" t="s">
        <v>78</v>
      </c>
      <c r="G158" s="665" t="s">
        <v>39</v>
      </c>
      <c r="H158" s="665" t="str">
        <f>"0x"&amp;DEC2HEX((HEX2DEC(C38)+208), 8)</f>
        <v>0x3D4000D0</v>
      </c>
      <c r="I158" s="651" t="str">
        <f>"0x"&amp;DEC2HEX((HEX2DEC(E158)+HEX2DEC(E159)+HEX2DEC(E160)), 8)</f>
        <v>0xC0030188</v>
      </c>
      <c r="J158" s="229"/>
    </row>
    <row r="159" spans="2:11" ht="331.5">
      <c r="B159" s="58" t="s">
        <v>86</v>
      </c>
      <c r="C159" s="60">
        <v>2000</v>
      </c>
      <c r="D159" s="145">
        <f>IF(C17="DDR3", 2, ROUNDUP(((C159/C33)/2/1024 +1),0))</f>
        <v>3</v>
      </c>
      <c r="E159" s="231" t="str">
        <f>DEC2HEX(((D159)*2^16),8)</f>
        <v>00030000</v>
      </c>
      <c r="F159" s="124" t="s">
        <v>547</v>
      </c>
      <c r="G159" s="666"/>
      <c r="H159" s="666"/>
      <c r="I159" s="668"/>
      <c r="J159" s="234"/>
      <c r="K159" s="189"/>
    </row>
    <row r="160" spans="2:11" ht="192" thickBot="1">
      <c r="B160" s="59" t="s">
        <v>87</v>
      </c>
      <c r="C160" s="62">
        <v>500000</v>
      </c>
      <c r="D160" s="112">
        <f>ROUNDUP(((C160/C33)/2/1024 +1),0)</f>
        <v>392</v>
      </c>
      <c r="E160" s="232" t="str">
        <f>DEC2HEX(((D160)*2^0),8)</f>
        <v>00000188</v>
      </c>
      <c r="F160" s="128" t="s">
        <v>242</v>
      </c>
      <c r="G160" s="667"/>
      <c r="H160" s="667"/>
      <c r="I160" s="669"/>
      <c r="J160" s="736"/>
      <c r="K160" s="737"/>
    </row>
    <row r="161" spans="2:11" ht="8.25" customHeight="1" thickBot="1">
      <c r="B161" s="67"/>
      <c r="C161" s="68"/>
      <c r="D161" s="69"/>
      <c r="E161" s="70"/>
      <c r="F161" s="71"/>
      <c r="G161" s="36"/>
      <c r="H161" s="36"/>
      <c r="I161" s="55"/>
      <c r="J161" s="18"/>
      <c r="K161" s="189"/>
    </row>
    <row r="162" spans="2:11" ht="140.25">
      <c r="B162" s="57" t="s">
        <v>120</v>
      </c>
      <c r="C162" s="64">
        <v>200000</v>
      </c>
      <c r="D162" s="87">
        <f>(ROUNDUP((C162/C33/1024/2 + 1),0))</f>
        <v>158</v>
      </c>
      <c r="E162" s="146" t="str">
        <f>DEC2HEX(((D162)*2^16),8)</f>
        <v>009E0000</v>
      </c>
      <c r="F162" s="125" t="s">
        <v>231</v>
      </c>
      <c r="G162" s="688" t="s">
        <v>38</v>
      </c>
      <c r="H162" s="688" t="str">
        <f>"0x"&amp;DEC2HEX((HEX2DEC(C38)+212), 8)</f>
        <v>0x3D4000D4</v>
      </c>
      <c r="I162" s="660" t="str">
        <f>"0x"&amp;DEC2HEX((HEX2DEC(E162)+HEX2DEC(E163)), 8)</f>
        <v>0x009E0000</v>
      </c>
      <c r="J162" s="738"/>
      <c r="K162" s="737"/>
    </row>
    <row r="163" spans="2:11" ht="80.25" customHeight="1" thickBot="1">
      <c r="B163" s="59" t="s">
        <v>121</v>
      </c>
      <c r="C163" s="62" t="s">
        <v>0</v>
      </c>
      <c r="D163" s="63">
        <v>0</v>
      </c>
      <c r="E163" s="148" t="str">
        <f>DEC2HEX(((D163)*2^0),8)</f>
        <v>00000000</v>
      </c>
      <c r="F163" s="128" t="s">
        <v>37</v>
      </c>
      <c r="G163" s="659"/>
      <c r="H163" s="659"/>
      <c r="I163" s="661"/>
      <c r="J163" s="18"/>
    </row>
    <row r="164" spans="2:11" ht="12.75" customHeight="1" thickBot="1">
      <c r="B164" s="67"/>
      <c r="C164" s="68"/>
      <c r="D164" s="69"/>
      <c r="E164" s="70"/>
      <c r="F164" s="71"/>
      <c r="G164" s="36"/>
      <c r="H164" s="36"/>
      <c r="I164" s="55"/>
      <c r="J164" s="18"/>
    </row>
    <row r="165" spans="2:11" ht="318.75">
      <c r="B165" s="57" t="s">
        <v>165</v>
      </c>
      <c r="C165" s="88">
        <v>14</v>
      </c>
      <c r="D165" s="87">
        <f>(C165) + D155 + D313</f>
        <v>14</v>
      </c>
      <c r="E165" s="294" t="str">
        <f>DEC2HEX(((D165)*2^8),8)</f>
        <v>00000E00</v>
      </c>
      <c r="F165" s="129" t="s">
        <v>963</v>
      </c>
      <c r="G165" s="688" t="s">
        <v>42</v>
      </c>
      <c r="H165" s="688" t="str">
        <f>"0x"&amp;DEC2HEX((HEX2DEC(C38)+244), 8)</f>
        <v>0x3D4000F4</v>
      </c>
      <c r="I165" s="660" t="str">
        <f>"0x"&amp;DEC2HEX((HEX2DEC(E165)+HEX2DEC(E166)+HEX2DEC(E167)), 8)</f>
        <v>0x00000EC7</v>
      </c>
      <c r="J165" s="18"/>
    </row>
    <row r="166" spans="2:11" ht="306">
      <c r="B166" s="58" t="s">
        <v>166</v>
      </c>
      <c r="C166" s="89">
        <v>12</v>
      </c>
      <c r="D166" s="190">
        <f>(C166+D314)</f>
        <v>12</v>
      </c>
      <c r="E166" s="295" t="str">
        <f>DEC2HEX(((D166)*2^4),8)</f>
        <v>000000C0</v>
      </c>
      <c r="F166" s="191" t="s">
        <v>964</v>
      </c>
      <c r="G166" s="693"/>
      <c r="H166" s="693"/>
      <c r="I166" s="694"/>
      <c r="J166" s="18"/>
    </row>
    <row r="167" spans="2:11" ht="304.5" customHeight="1" thickBot="1">
      <c r="B167" s="59" t="s">
        <v>167</v>
      </c>
      <c r="C167" s="62" t="s">
        <v>0</v>
      </c>
      <c r="D167" s="63">
        <v>7</v>
      </c>
      <c r="E167" s="296" t="str">
        <f>DEC2HEX(((D167)*2^0),8)</f>
        <v>00000007</v>
      </c>
      <c r="F167" s="130" t="s">
        <v>79</v>
      </c>
      <c r="G167" s="659"/>
      <c r="H167" s="659"/>
      <c r="I167" s="661"/>
      <c r="J167" s="18"/>
    </row>
    <row r="168" spans="2:11" ht="20.45" customHeight="1" thickBot="1">
      <c r="B168" s="8"/>
      <c r="C168" s="8"/>
      <c r="D168" s="8"/>
      <c r="E168" s="8"/>
      <c r="F168" s="8"/>
      <c r="G168" s="8"/>
      <c r="H168" s="8"/>
      <c r="I168" s="8"/>
      <c r="J168" s="8"/>
    </row>
    <row r="169" spans="2:11" s="8" customFormat="1" ht="76.5">
      <c r="B169" s="601" t="s">
        <v>1334</v>
      </c>
      <c r="C169" s="153" t="s">
        <v>0</v>
      </c>
      <c r="D169" s="602">
        <f>ECC_CONFIG!B63</f>
        <v>0</v>
      </c>
      <c r="E169" s="244" t="str">
        <f>DEC2HEX(((D169)*2^30),8)</f>
        <v>00000000</v>
      </c>
      <c r="F169" s="603" t="s">
        <v>1335</v>
      </c>
      <c r="G169" s="733" t="s">
        <v>1336</v>
      </c>
      <c r="H169" s="710" t="s">
        <v>1337</v>
      </c>
      <c r="I169" s="711" t="str">
        <f>"0x"&amp;DEC2HEX((HEX2DEC(E169)+HEX2DEC(E170)+HEX2DEC(E171)+HEX2DEC(E172)+HEX2DEC(E173)+HEX2DEC(E174)+HEX2DEC(E175)+HEX2DEC(E176)+HEX2DEC(E177)+HEX2DEC(E178)+HEX2DEC(E179) ), 8)</f>
        <v>0x03027F90</v>
      </c>
      <c r="J169"/>
    </row>
    <row r="170" spans="2:11" s="8" customFormat="1" ht="90" customHeight="1">
      <c r="B170" s="102" t="s">
        <v>1338</v>
      </c>
      <c r="C170" s="99" t="s">
        <v>0</v>
      </c>
      <c r="D170" s="604">
        <f>ECC_CONFIG!B65</f>
        <v>0</v>
      </c>
      <c r="E170" s="245" t="str">
        <f>DEC2HEX(((D170)*2^29),8)</f>
        <v>00000000</v>
      </c>
      <c r="F170" s="605" t="s">
        <v>1339</v>
      </c>
      <c r="G170" s="734"/>
      <c r="H170" s="693"/>
      <c r="I170" s="694"/>
      <c r="J170"/>
    </row>
    <row r="171" spans="2:11" s="8" customFormat="1" ht="114.75">
      <c r="B171" s="102" t="s">
        <v>1340</v>
      </c>
      <c r="C171" s="99" t="s">
        <v>0</v>
      </c>
      <c r="D171" s="318">
        <f>IF(D54=0, 3, 1)</f>
        <v>3</v>
      </c>
      <c r="E171" s="245" t="str">
        <f>DEC2HEX(((D171)*2^24),8)</f>
        <v>03000000</v>
      </c>
      <c r="F171" s="605" t="s">
        <v>1341</v>
      </c>
      <c r="G171" s="734"/>
      <c r="H171" s="693"/>
      <c r="I171" s="694"/>
      <c r="J171"/>
    </row>
    <row r="172" spans="2:11" s="8" customFormat="1" ht="191.25">
      <c r="B172" s="102" t="s">
        <v>1342</v>
      </c>
      <c r="C172" s="99" t="s">
        <v>0</v>
      </c>
      <c r="D172" s="606">
        <v>2</v>
      </c>
      <c r="E172" s="245" t="str">
        <f>DEC2HEX(((D172)*2^16),8)</f>
        <v>00020000</v>
      </c>
      <c r="F172" s="605" t="s">
        <v>1343</v>
      </c>
      <c r="G172" s="734"/>
      <c r="H172" s="693"/>
      <c r="I172" s="694"/>
      <c r="J172"/>
    </row>
    <row r="173" spans="2:11" s="8" customFormat="1" ht="264.75" customHeight="1">
      <c r="B173" s="102" t="s">
        <v>1344</v>
      </c>
      <c r="C173" s="99" t="s">
        <v>0</v>
      </c>
      <c r="D173" s="604">
        <f>ECC_CONFIG!B74</f>
        <v>127</v>
      </c>
      <c r="E173" s="245" t="str">
        <f>DEC2HEX(((D173)*2^8),8)</f>
        <v>00007F00</v>
      </c>
      <c r="F173" s="605" t="s">
        <v>1345</v>
      </c>
      <c r="G173" s="734"/>
      <c r="H173" s="693"/>
      <c r="I173" s="694"/>
      <c r="J173"/>
    </row>
    <row r="174" spans="2:11" s="8" customFormat="1" ht="102">
      <c r="B174" s="102" t="s">
        <v>1346</v>
      </c>
      <c r="C174" s="99" t="s">
        <v>0</v>
      </c>
      <c r="D174" s="643">
        <v>1</v>
      </c>
      <c r="E174" s="245" t="str">
        <f>DEC2HEX(((D174)*2^7),8)</f>
        <v>00000080</v>
      </c>
      <c r="F174" s="605" t="s">
        <v>1347</v>
      </c>
      <c r="G174" s="734"/>
      <c r="H174" s="693"/>
      <c r="I174" s="694"/>
      <c r="J174"/>
    </row>
    <row r="175" spans="2:11" s="8" customFormat="1" ht="63.75">
      <c r="B175" s="102" t="s">
        <v>1348</v>
      </c>
      <c r="C175" s="99" t="s">
        <v>0</v>
      </c>
      <c r="D175" s="607">
        <f>IF(G41 ="ENABLED", 1, 0)</f>
        <v>0</v>
      </c>
      <c r="E175" s="245" t="str">
        <f>DEC2HEX(((D175)*2^6),8)</f>
        <v>00000000</v>
      </c>
      <c r="F175" s="605" t="s">
        <v>1349</v>
      </c>
      <c r="G175" s="734"/>
      <c r="H175" s="693"/>
      <c r="I175" s="694"/>
      <c r="J175"/>
    </row>
    <row r="176" spans="2:11" s="8" customFormat="1" ht="89.25">
      <c r="B176" s="608" t="s">
        <v>1350</v>
      </c>
      <c r="C176" s="609" t="s">
        <v>0</v>
      </c>
      <c r="D176" s="606">
        <v>0</v>
      </c>
      <c r="E176" s="245" t="str">
        <f>DEC2HEX(((D176)*2^5),8)</f>
        <v>00000000</v>
      </c>
      <c r="F176" s="605" t="s">
        <v>1351</v>
      </c>
      <c r="G176" s="734"/>
      <c r="H176" s="693"/>
      <c r="I176" s="694"/>
      <c r="J176"/>
    </row>
    <row r="177" spans="1:11" s="8" customFormat="1" ht="63.75">
      <c r="B177" s="608" t="s">
        <v>1352</v>
      </c>
      <c r="C177" s="609" t="s">
        <v>0</v>
      </c>
      <c r="D177" s="606">
        <v>1</v>
      </c>
      <c r="E177" s="245" t="str">
        <f>DEC2HEX(((D177)*2^4),8)</f>
        <v>00000010</v>
      </c>
      <c r="F177" s="605" t="s">
        <v>1353</v>
      </c>
      <c r="G177" s="734"/>
      <c r="H177" s="693"/>
      <c r="I177" s="694"/>
      <c r="J177"/>
    </row>
    <row r="178" spans="1:11" s="8" customFormat="1" ht="154.5" customHeight="1">
      <c r="A178" s="610"/>
      <c r="B178" s="102" t="s">
        <v>1354</v>
      </c>
      <c r="C178" s="99" t="s">
        <v>0</v>
      </c>
      <c r="D178" s="611">
        <v>0</v>
      </c>
      <c r="E178" s="83" t="str">
        <f>DEC2HEX(((D178)*2^3),8)</f>
        <v>00000000</v>
      </c>
      <c r="F178" s="612" t="s">
        <v>1355</v>
      </c>
      <c r="G178" s="734"/>
      <c r="H178" s="693"/>
      <c r="I178" s="694"/>
      <c r="J178"/>
    </row>
    <row r="179" spans="1:11" s="8" customFormat="1" ht="77.25" thickBot="1">
      <c r="B179" s="82" t="s">
        <v>1356</v>
      </c>
      <c r="C179" s="100" t="s">
        <v>0</v>
      </c>
      <c r="D179" s="613">
        <f>IF(G41 ="ENABLED", 4, 0)</f>
        <v>0</v>
      </c>
      <c r="E179" s="101" t="str">
        <f>DEC2HEX(((D179)*2^0),8)</f>
        <v>00000000</v>
      </c>
      <c r="F179" s="614" t="s">
        <v>1357</v>
      </c>
      <c r="G179" s="735"/>
      <c r="H179" s="659"/>
      <c r="I179" s="661"/>
      <c r="J179"/>
    </row>
    <row r="180" spans="1:11" s="8" customFormat="1" ht="13.5" thickBot="1">
      <c r="D180" s="615"/>
      <c r="E180" s="13"/>
      <c r="F180" s="615"/>
      <c r="G180" s="13"/>
      <c r="H180" s="13"/>
      <c r="I180" s="13"/>
    </row>
    <row r="181" spans="1:11" s="8" customFormat="1" ht="76.5">
      <c r="B181" s="601" t="s">
        <v>1358</v>
      </c>
      <c r="C181" s="153" t="s">
        <v>0</v>
      </c>
      <c r="D181" s="611">
        <v>7</v>
      </c>
      <c r="E181" s="244" t="str">
        <f>DEC2HEX(((D181)*2^8),8)</f>
        <v>00000700</v>
      </c>
      <c r="F181" s="616" t="s">
        <v>1359</v>
      </c>
      <c r="G181" s="733" t="s">
        <v>1360</v>
      </c>
      <c r="H181" s="710" t="s">
        <v>1361</v>
      </c>
      <c r="I181" s="711" t="str">
        <f>"0x"&amp;DEC2HEX((HEX2DEC(E181)+HEX2DEC(E182)+HEX2DEC(E183)+HEX2DEC(E184)+HEX2DEC(E185)+HEX2DEC(E186)+HEX2DEC(E187) ), 8)</f>
        <v>0x00000790</v>
      </c>
      <c r="J181"/>
    </row>
    <row r="182" spans="1:11" s="8" customFormat="1" ht="102">
      <c r="B182" s="102" t="s">
        <v>1362</v>
      </c>
      <c r="C182" s="99" t="s">
        <v>0</v>
      </c>
      <c r="D182" s="606">
        <v>1</v>
      </c>
      <c r="E182" s="245" t="str">
        <f>DEC2HEX(((D182)*2^7),8)</f>
        <v>00000080</v>
      </c>
      <c r="F182" s="605" t="s">
        <v>1363</v>
      </c>
      <c r="G182" s="734"/>
      <c r="H182" s="693"/>
      <c r="I182" s="694"/>
      <c r="J182"/>
    </row>
    <row r="183" spans="1:11" s="8" customFormat="1" ht="89.25">
      <c r="B183" s="102" t="s">
        <v>1364</v>
      </c>
      <c r="C183" s="99" t="s">
        <v>0</v>
      </c>
      <c r="D183" s="643">
        <v>0</v>
      </c>
      <c r="E183" s="245" t="str">
        <f>DEC2HEX(((D183)*2^5),8)</f>
        <v>00000000</v>
      </c>
      <c r="F183" s="605" t="s">
        <v>1365</v>
      </c>
      <c r="G183" s="734"/>
      <c r="H183" s="693"/>
      <c r="I183" s="694"/>
      <c r="J183"/>
    </row>
    <row r="184" spans="1:11" s="8" customFormat="1" ht="102">
      <c r="B184" s="102" t="s">
        <v>1366</v>
      </c>
      <c r="C184" s="99" t="s">
        <v>0</v>
      </c>
      <c r="D184" s="617">
        <v>1</v>
      </c>
      <c r="E184" s="245" t="str">
        <f>DEC2HEX(((D184)*2^4),8)</f>
        <v>00000010</v>
      </c>
      <c r="F184" s="605" t="s">
        <v>1367</v>
      </c>
      <c r="G184" s="734"/>
      <c r="H184" s="693"/>
      <c r="I184" s="694"/>
      <c r="J184"/>
    </row>
    <row r="185" spans="1:11" s="8" customFormat="1" ht="89.25">
      <c r="B185" s="102" t="s">
        <v>1368</v>
      </c>
      <c r="C185" s="99" t="s">
        <v>0</v>
      </c>
      <c r="D185" s="606">
        <v>0</v>
      </c>
      <c r="E185" s="245" t="str">
        <f>DEC2HEX(((D185)*2^2),8)</f>
        <v>00000000</v>
      </c>
      <c r="F185" s="605" t="s">
        <v>1369</v>
      </c>
      <c r="G185" s="734"/>
      <c r="H185" s="693"/>
      <c r="I185" s="694"/>
      <c r="J185"/>
    </row>
    <row r="186" spans="1:11" s="8" customFormat="1" ht="63.75">
      <c r="B186" s="608" t="s">
        <v>1370</v>
      </c>
      <c r="C186" s="609" t="s">
        <v>0</v>
      </c>
      <c r="D186" s="606">
        <v>0</v>
      </c>
      <c r="E186" s="245" t="str">
        <f>DEC2HEX(((D186)*2^1),8)</f>
        <v>00000000</v>
      </c>
      <c r="F186" s="605" t="s">
        <v>1371</v>
      </c>
      <c r="G186" s="734"/>
      <c r="H186" s="693"/>
      <c r="I186" s="694"/>
      <c r="J186"/>
    </row>
    <row r="187" spans="1:11" s="8" customFormat="1" ht="39" thickBot="1">
      <c r="B187" s="82" t="s">
        <v>1372</v>
      </c>
      <c r="C187" s="100" t="s">
        <v>0</v>
      </c>
      <c r="D187" s="618">
        <v>0</v>
      </c>
      <c r="E187" s="101" t="str">
        <f>DEC2HEX(((D187)*2^0),8)</f>
        <v>00000000</v>
      </c>
      <c r="F187" s="614" t="s">
        <v>1373</v>
      </c>
      <c r="G187" s="735"/>
      <c r="H187" s="659"/>
      <c r="I187" s="661"/>
      <c r="J187"/>
    </row>
    <row r="188" spans="1:11" ht="9" customHeight="1" thickBot="1">
      <c r="B188" s="67"/>
      <c r="C188" s="68"/>
      <c r="D188" s="69"/>
      <c r="E188" s="70"/>
      <c r="F188" s="71"/>
      <c r="G188" s="36"/>
      <c r="H188" s="36"/>
      <c r="I188" s="55"/>
      <c r="J188" s="18"/>
    </row>
    <row r="189" spans="1:11" ht="280.5">
      <c r="A189" s="6"/>
      <c r="B189" s="57" t="s">
        <v>168</v>
      </c>
      <c r="C189" s="110">
        <f>ROUNDUP(15/C33, 0)</f>
        <v>24</v>
      </c>
      <c r="D189" s="110">
        <f>ROUNDUP((C200+D52+C189)/2,0)</f>
        <v>22</v>
      </c>
      <c r="E189" s="294" t="str">
        <f>DEC2HEX(((D189)*2^24),8)</f>
        <v>16000000</v>
      </c>
      <c r="F189" s="125" t="s">
        <v>669</v>
      </c>
      <c r="G189" s="665" t="s">
        <v>43</v>
      </c>
      <c r="H189" s="665" t="str">
        <f>"0x"&amp;DEC2HEX((HEX2DEC(C38)+256), 8)</f>
        <v>0x3D400100</v>
      </c>
      <c r="I189" s="651" t="str">
        <f>"0x"&amp;DEC2HEX((HEX2DEC(E189)+HEX2DEC(E190)+HEX2DEC(E191)+HEX2DEC(E192)), 8)</f>
        <v>0x1618361A</v>
      </c>
      <c r="J189" s="79"/>
      <c r="K189" s="25"/>
    </row>
    <row r="190" spans="1:11" ht="165.75">
      <c r="B190" s="58" t="s">
        <v>169</v>
      </c>
      <c r="C190" s="145">
        <f>IF(C30=16,30,(IF(C30=8,21,13)))</f>
        <v>30</v>
      </c>
      <c r="D190" s="145">
        <f>ROUNDUP(((C190/C33)/2),0)</f>
        <v>24</v>
      </c>
      <c r="E190" s="295" t="str">
        <f>DEC2HEX(((D190)*2^16),8)</f>
        <v>00180000</v>
      </c>
      <c r="F190" s="124" t="s">
        <v>670</v>
      </c>
      <c r="G190" s="712"/>
      <c r="H190" s="712"/>
      <c r="I190" s="652"/>
      <c r="J190" s="18"/>
      <c r="K190" s="25"/>
    </row>
    <row r="191" spans="1:11" ht="114.75">
      <c r="B191" s="58" t="s">
        <v>170</v>
      </c>
      <c r="C191" s="145">
        <f>(9*C137)</f>
        <v>70200</v>
      </c>
      <c r="D191" s="145">
        <f>ROUNDDOWN(((C191/C33 - 1)/2/1024),0)</f>
        <v>54</v>
      </c>
      <c r="E191" s="295" t="str">
        <f>DEC2HEX(((D191)*2^8),8)</f>
        <v>00003600</v>
      </c>
      <c r="F191" s="124" t="s">
        <v>243</v>
      </c>
      <c r="G191" s="666"/>
      <c r="H191" s="666"/>
      <c r="I191" s="668"/>
      <c r="J191" s="18"/>
      <c r="K191" s="25"/>
    </row>
    <row r="192" spans="1:11" ht="128.25" thickBot="1">
      <c r="B192" s="136" t="s">
        <v>171</v>
      </c>
      <c r="C192" s="261">
        <v>32</v>
      </c>
      <c r="D192" s="348">
        <f>ROUNDUP(((C192/C33)/2),0)</f>
        <v>26</v>
      </c>
      <c r="E192" s="141" t="str">
        <f>DEC2HEX(((D192)*2^0),8)</f>
        <v>0000001A</v>
      </c>
      <c r="F192" s="144" t="s">
        <v>244</v>
      </c>
      <c r="G192" s="667"/>
      <c r="H192" s="667"/>
      <c r="I192" s="669"/>
      <c r="J192" s="18"/>
    </row>
    <row r="193" spans="1:11" ht="10.5" customHeight="1" thickBot="1">
      <c r="B193" s="67"/>
      <c r="C193" s="68"/>
      <c r="D193" s="69"/>
      <c r="E193" s="70"/>
      <c r="F193" s="71"/>
      <c r="G193" s="36"/>
      <c r="H193" s="36"/>
      <c r="I193" s="55"/>
      <c r="J193" s="18"/>
    </row>
    <row r="194" spans="1:11" ht="165.75" customHeight="1">
      <c r="A194" s="6"/>
      <c r="B194" s="57" t="s">
        <v>94</v>
      </c>
      <c r="C194" s="110">
        <f>MAX(4,6/C33)</f>
        <v>9.6</v>
      </c>
      <c r="D194" s="110">
        <f>ROUNDUP(((C194)+(IF(C32&lt;1200, 4, 5)*D156))/2, 0)</f>
        <v>5</v>
      </c>
      <c r="E194" s="510" t="str">
        <f>DEC2HEX(((D194)*2^16),8)</f>
        <v>00050000</v>
      </c>
      <c r="F194" s="129" t="s">
        <v>667</v>
      </c>
      <c r="G194" s="665" t="s">
        <v>44</v>
      </c>
      <c r="H194" s="665" t="str">
        <f>"0x"&amp;DEC2HEX((HEX2DEC(C38)+260), 8)</f>
        <v>0x3D400104</v>
      </c>
      <c r="I194" s="713" t="str">
        <f>"0x"&amp;DEC2HEX((HEX2DEC(E194)+HEX2DEC(E195)+HEX2DEC(E196)), 8)</f>
        <v>0x00050625</v>
      </c>
      <c r="J194" s="18"/>
    </row>
    <row r="195" spans="1:11" ht="267.75">
      <c r="B195" s="58" t="s">
        <v>95</v>
      </c>
      <c r="C195" s="145">
        <f>MAX(4, 7.5/C33)</f>
        <v>12</v>
      </c>
      <c r="D195" s="145">
        <f>ROUNDUP((C195)/2,0)</f>
        <v>6</v>
      </c>
      <c r="E195" s="511" t="str">
        <f>DEC2HEX(((D195)*2^8),8)</f>
        <v>00000600</v>
      </c>
      <c r="F195" s="513" t="s">
        <v>668</v>
      </c>
      <c r="G195" s="712"/>
      <c r="H195" s="712"/>
      <c r="I195" s="714"/>
      <c r="J195" s="93"/>
    </row>
    <row r="196" spans="1:11" ht="115.5" customHeight="1" thickBot="1">
      <c r="B196" s="59" t="s">
        <v>230</v>
      </c>
      <c r="C196" s="151">
        <f>C209</f>
        <v>13.75</v>
      </c>
      <c r="D196" s="112">
        <f>ROUNDUP(((C196+C192)*C32/1000)/2, 0)</f>
        <v>37</v>
      </c>
      <c r="E196" s="512" t="str">
        <f>DEC2HEX(((D196)*2^0),8)</f>
        <v>00000025</v>
      </c>
      <c r="F196" s="130" t="s">
        <v>380</v>
      </c>
      <c r="G196" s="704"/>
      <c r="H196" s="704"/>
      <c r="I196" s="715"/>
      <c r="J196" s="18"/>
    </row>
    <row r="197" spans="1:11" ht="13.5" thickBot="1">
      <c r="B197" s="73"/>
      <c r="C197" s="90"/>
      <c r="D197" s="75"/>
      <c r="E197" s="36"/>
      <c r="F197" s="71"/>
      <c r="G197" s="78"/>
      <c r="H197" s="78"/>
      <c r="I197" s="78"/>
      <c r="J197" s="18"/>
    </row>
    <row r="198" spans="1:11" ht="51.75" thickBot="1">
      <c r="B198" s="14" t="s">
        <v>75</v>
      </c>
      <c r="C198" s="16" t="s">
        <v>89</v>
      </c>
      <c r="D198" s="91" t="s">
        <v>172</v>
      </c>
      <c r="E198" s="14" t="s">
        <v>6</v>
      </c>
      <c r="F198" s="15" t="s">
        <v>1</v>
      </c>
      <c r="G198" s="35" t="s">
        <v>3</v>
      </c>
      <c r="H198" s="16" t="s">
        <v>220</v>
      </c>
      <c r="I198" s="16" t="s">
        <v>4</v>
      </c>
      <c r="J198" s="18"/>
    </row>
    <row r="199" spans="1:11" ht="4.5" customHeight="1" thickBot="1">
      <c r="B199" s="219"/>
      <c r="C199" s="220"/>
      <c r="D199" s="221"/>
      <c r="E199" s="222"/>
      <c r="F199" s="223"/>
      <c r="G199" s="220"/>
      <c r="H199" s="220"/>
      <c r="I199" s="224"/>
      <c r="J199" s="18"/>
    </row>
    <row r="200" spans="1:11" ht="199.5" customHeight="1">
      <c r="A200" s="6"/>
      <c r="B200" s="57" t="s">
        <v>92</v>
      </c>
      <c r="C200" s="347">
        <f>IF(C32&lt;668, 9, IF(C32&lt;801, 9, IF(C32&lt;934, 10, IF(C32&lt;1067, 11,IF(C32&lt;1201,12,IF(C32&lt;1334,14,16))) )))</f>
        <v>16</v>
      </c>
      <c r="D200" s="110">
        <f>ROUNDUP((C200/2), 0)</f>
        <v>8</v>
      </c>
      <c r="E200" s="294" t="str">
        <f>DEC2HEX(((D200)*2^24),8)</f>
        <v>08000000</v>
      </c>
      <c r="F200" s="125" t="s">
        <v>664</v>
      </c>
      <c r="G200" s="665" t="s">
        <v>45</v>
      </c>
      <c r="H200" s="665" t="str">
        <f>"0x"&amp;DEC2HEX((HEX2DEC(C38)+264), 8)</f>
        <v>0x3D400108</v>
      </c>
      <c r="I200" s="713" t="str">
        <f>"0x"&amp;DEC2HEX((HEX2DEC(E200)+HEX2DEC(E201)+HEX2DEC(E202)+HEX2DEC(E203)), 8)</f>
        <v>0x080B0610</v>
      </c>
      <c r="J200" s="79"/>
    </row>
    <row r="201" spans="1:11" ht="192" customHeight="1">
      <c r="A201" s="6"/>
      <c r="B201" s="58" t="s">
        <v>93</v>
      </c>
      <c r="C201" s="145">
        <f>F28</f>
        <v>22</v>
      </c>
      <c r="D201" s="145">
        <f>ROUNDUP((C201/2), 0)</f>
        <v>11</v>
      </c>
      <c r="E201" s="295" t="str">
        <f>DEC2HEX(((D201)*2^16),8)</f>
        <v>000B0000</v>
      </c>
      <c r="F201" s="124" t="s">
        <v>665</v>
      </c>
      <c r="G201" s="712"/>
      <c r="H201" s="712"/>
      <c r="I201" s="714"/>
      <c r="J201" s="79"/>
    </row>
    <row r="202" spans="1:11" ht="395.25">
      <c r="A202" s="6"/>
      <c r="B202" s="58" t="s">
        <v>91</v>
      </c>
      <c r="C202" s="345">
        <f>(D313+1)</f>
        <v>1</v>
      </c>
      <c r="D202" s="80">
        <f>ROUNDUP((C201+D52+1+C202-C200)/2,0)</f>
        <v>6</v>
      </c>
      <c r="E202" s="140" t="str">
        <f>DEC2HEX(((D202)*2^8),8)</f>
        <v>00000600</v>
      </c>
      <c r="F202" s="124" t="s">
        <v>663</v>
      </c>
      <c r="G202" s="666"/>
      <c r="H202" s="666"/>
      <c r="I202" s="791"/>
      <c r="J202" s="186"/>
    </row>
    <row r="203" spans="1:11" ht="306.75" thickBot="1">
      <c r="B203" s="94" t="s">
        <v>90</v>
      </c>
      <c r="C203" s="112">
        <f>MAX(4, 7.5/C33)</f>
        <v>12</v>
      </c>
      <c r="D203" s="112">
        <f>ROUNDUP((C200+D52+C203)/2, 0)</f>
        <v>16</v>
      </c>
      <c r="E203" s="300" t="str">
        <f>DEC2HEX(((D203)*2^0),8)</f>
        <v>00000010</v>
      </c>
      <c r="F203" s="126" t="s">
        <v>666</v>
      </c>
      <c r="G203" s="667"/>
      <c r="H203" s="667"/>
      <c r="I203" s="792"/>
      <c r="J203" s="186"/>
      <c r="K203" s="25"/>
    </row>
    <row r="204" spans="1:11" ht="6" customHeight="1" thickBot="1">
      <c r="B204" s="67"/>
      <c r="C204" s="68"/>
      <c r="D204" s="69"/>
      <c r="E204" s="70"/>
      <c r="F204" s="71"/>
      <c r="G204" s="36"/>
      <c r="H204" s="36"/>
      <c r="I204" s="55"/>
      <c r="J204" s="18"/>
    </row>
    <row r="205" spans="1:11" ht="114.75">
      <c r="A205" s="6"/>
      <c r="B205" s="57" t="s">
        <v>96</v>
      </c>
      <c r="C205" s="64">
        <v>0</v>
      </c>
      <c r="D205" s="110">
        <f>ROUNDUP((C205/C33)/2, 0)</f>
        <v>0</v>
      </c>
      <c r="E205" s="294" t="str">
        <f>DEC2HEX(((D205)*2^20),8)</f>
        <v>00000000</v>
      </c>
      <c r="F205" s="125" t="s">
        <v>672</v>
      </c>
      <c r="G205" s="665" t="s">
        <v>46</v>
      </c>
      <c r="H205" s="665" t="str">
        <f>"0x"&amp;DEC2HEX((HEX2DEC(C38)+268), 8)</f>
        <v>0x3D40010C</v>
      </c>
      <c r="I205" s="651" t="str">
        <f>"0x"&amp;DEC2HEX((HEX2DEC(E205)+HEX2DEC(E206)+HEX2DEC(E207)), 8)</f>
        <v>0x0000400C</v>
      </c>
      <c r="J205" s="18"/>
    </row>
    <row r="206" spans="1:11" ht="165.75">
      <c r="B206" s="121" t="s">
        <v>97</v>
      </c>
      <c r="C206" s="60">
        <v>8</v>
      </c>
      <c r="D206" s="145">
        <f>IF(D156=1, ROUNDUP( (MAX(24, 15/C33) + IF(C32&lt;1200, 4, 5))/2,0), ROUNDUP((C206)/2, 0))</f>
        <v>4</v>
      </c>
      <c r="E206" s="295" t="str">
        <f>DEC2HEX(((D206)*2^12),8)</f>
        <v>00004000</v>
      </c>
      <c r="F206" s="124" t="s">
        <v>671</v>
      </c>
      <c r="G206" s="666"/>
      <c r="H206" s="666"/>
      <c r="I206" s="668"/>
      <c r="J206" s="18"/>
    </row>
    <row r="207" spans="1:11" ht="217.5" thickBot="1">
      <c r="B207" s="136" t="s">
        <v>98</v>
      </c>
      <c r="C207" s="112">
        <f>IF(C32&lt;1200, 4, 5)*D156 + MAX(24, 15/C33)</f>
        <v>24</v>
      </c>
      <c r="D207" s="112">
        <f>ROUNDUP((C207/2),0)</f>
        <v>12</v>
      </c>
      <c r="E207" s="296" t="str">
        <f>DEC2HEX(((D207)*2^0),8)</f>
        <v>0000000C</v>
      </c>
      <c r="F207" s="128" t="s">
        <v>673</v>
      </c>
      <c r="G207" s="667"/>
      <c r="H207" s="667"/>
      <c r="I207" s="669"/>
      <c r="J207" s="181"/>
    </row>
    <row r="208" spans="1:11" ht="13.5" customHeight="1" thickBot="1">
      <c r="B208" s="67"/>
      <c r="C208" s="68"/>
      <c r="D208" s="69"/>
      <c r="E208" s="70"/>
      <c r="F208" s="71"/>
      <c r="G208" s="36"/>
      <c r="H208" s="36"/>
      <c r="I208" s="55"/>
      <c r="J208" s="18"/>
    </row>
    <row r="209" spans="1:11" ht="140.25">
      <c r="B209" s="57" t="s">
        <v>109</v>
      </c>
      <c r="C209" s="644">
        <v>13.75</v>
      </c>
      <c r="D209" s="110">
        <f>ROUNDUP(((C209/C33)/2),0)</f>
        <v>11</v>
      </c>
      <c r="E209" s="510" t="str">
        <f>DEC2HEX(((D209)*2^24),8)</f>
        <v>0B000000</v>
      </c>
      <c r="F209" s="125" t="s">
        <v>381</v>
      </c>
      <c r="G209" s="665" t="s">
        <v>47</v>
      </c>
      <c r="H209" s="665" t="str">
        <f>"0x"&amp;DEC2HEX((HEX2DEC(C38)+272), 8)</f>
        <v>0x3D400110</v>
      </c>
      <c r="I209" s="713" t="str">
        <f>"0x"&amp;DEC2HEX((HEX2DEC(E209)+HEX2DEC(E210)+HEX2DEC(E211)+HEX2DEC(E212)), 8)</f>
        <v>0x0B04060C</v>
      </c>
      <c r="J209" s="18"/>
    </row>
    <row r="210" spans="1:11" ht="165.75">
      <c r="B210" s="58" t="s">
        <v>110</v>
      </c>
      <c r="C210" s="145">
        <f>ROUNDUP(MAX(5, 5/C33), 0)</f>
        <v>8</v>
      </c>
      <c r="D210" s="145">
        <f>ROUNDUP(((C210)/2),0)</f>
        <v>4</v>
      </c>
      <c r="E210" s="511" t="str">
        <f>DEC2HEX(((D210)*2^16),8)</f>
        <v>00040000</v>
      </c>
      <c r="F210" s="124" t="s">
        <v>674</v>
      </c>
      <c r="G210" s="666"/>
      <c r="H210" s="666"/>
      <c r="I210" s="791"/>
      <c r="J210" s="18"/>
    </row>
    <row r="211" spans="1:11" ht="127.5">
      <c r="B211" s="58" t="s">
        <v>111</v>
      </c>
      <c r="C211" s="145">
        <f>ROUNDUP(MAX(4, IF(C30=16, 6.4/C33, 4.9/C33)), 0)</f>
        <v>11</v>
      </c>
      <c r="D211" s="145">
        <f>ROUNDUP(((C211)/2),0)</f>
        <v>6</v>
      </c>
      <c r="E211" s="511" t="str">
        <f>DEC2HEX(((D211)*2^8),8)</f>
        <v>00000600</v>
      </c>
      <c r="F211" s="124" t="s">
        <v>675</v>
      </c>
      <c r="G211" s="666"/>
      <c r="H211" s="666"/>
      <c r="I211" s="791"/>
      <c r="J211" s="18"/>
    </row>
    <row r="212" spans="1:11" ht="141" thickBot="1">
      <c r="A212" s="6"/>
      <c r="B212" s="59" t="s">
        <v>112</v>
      </c>
      <c r="C212" s="151">
        <f>C209</f>
        <v>13.75</v>
      </c>
      <c r="D212" s="112">
        <f>ROUNDDOWN(ROUNDUP(((C212/C33)),0)/2, 0) + 1</f>
        <v>12</v>
      </c>
      <c r="E212" s="141" t="str">
        <f>DEC2HEX(((D212)*2^0),8)</f>
        <v>0000000C</v>
      </c>
      <c r="F212" s="128" t="s">
        <v>382</v>
      </c>
      <c r="G212" s="667"/>
      <c r="H212" s="667"/>
      <c r="I212" s="792"/>
      <c r="J212" s="186"/>
    </row>
    <row r="213" spans="1:11" ht="13.5" customHeight="1" thickBot="1">
      <c r="B213" s="67"/>
      <c r="C213" s="68"/>
      <c r="D213" s="69"/>
      <c r="E213" s="70"/>
      <c r="F213" s="71"/>
      <c r="G213" s="36"/>
      <c r="H213" s="36"/>
      <c r="I213" s="55"/>
      <c r="J213" s="18"/>
    </row>
    <row r="214" spans="1:11" ht="204">
      <c r="A214" s="6"/>
      <c r="B214" s="57" t="s">
        <v>113</v>
      </c>
      <c r="C214" s="110">
        <f>ROUNDUP(MAX(5, 10/C33), 0)</f>
        <v>16</v>
      </c>
      <c r="D214" s="110">
        <f>ROUNDUP(((C214)/2),0)</f>
        <v>8</v>
      </c>
      <c r="E214" s="138" t="str">
        <f>DEC2HEX(((D214)*2^24),8)</f>
        <v>08000000</v>
      </c>
      <c r="F214" s="125" t="s">
        <v>676</v>
      </c>
      <c r="G214" s="665" t="s">
        <v>48</v>
      </c>
      <c r="H214" s="665" t="str">
        <f>"0x"&amp;DEC2HEX((HEX2DEC(C38)+276), 8)</f>
        <v>0x3D400114</v>
      </c>
      <c r="I214" s="651" t="str">
        <f>"0x"&amp;DEC2HEX((HEX2DEC(E214)+HEX2DEC(E215)+HEX2DEC(E216)+HEX2DEC(E217)), 8)</f>
        <v>0x08080504</v>
      </c>
      <c r="J214" s="185"/>
    </row>
    <row r="215" spans="1:11" ht="229.5">
      <c r="B215" s="58" t="s">
        <v>114</v>
      </c>
      <c r="C215" s="345">
        <f>ROUNDUP((((MAX(5, 10/C33))+IF(D151=0, (IF(C32&lt;1200, 4, 5)*D156), 0)) ),0)</f>
        <v>16</v>
      </c>
      <c r="D215" s="145">
        <f>ROUNDUP((C215)/2, 0)</f>
        <v>8</v>
      </c>
      <c r="E215" s="140" t="str">
        <f>DEC2HEX(((D215)*2^16),8)</f>
        <v>00080000</v>
      </c>
      <c r="F215" s="124" t="s">
        <v>677</v>
      </c>
      <c r="G215" s="666"/>
      <c r="H215" s="666"/>
      <c r="I215" s="668"/>
      <c r="J215" s="185"/>
    </row>
    <row r="216" spans="1:11" ht="229.5">
      <c r="B216" s="58" t="s">
        <v>245</v>
      </c>
      <c r="C216" s="145">
        <f>ROUNDUP(MAX(3, 5/C33), 0)</f>
        <v>8</v>
      </c>
      <c r="D216" s="145">
        <f>ROUNDUP((((C216)+1+IF(D151=0, (IF(C32&lt;1200, 4, 5)*D156), 0))/2),0)</f>
        <v>5</v>
      </c>
      <c r="E216" s="295" t="str">
        <f>DEC2HEX(((D216)*2^8),8)</f>
        <v>00000500</v>
      </c>
      <c r="F216" s="124" t="s">
        <v>678</v>
      </c>
      <c r="G216" s="666"/>
      <c r="H216" s="666"/>
      <c r="I216" s="668"/>
      <c r="J216" s="18"/>
    </row>
    <row r="217" spans="1:11" ht="153.75" thickBot="1">
      <c r="B217" s="59" t="s">
        <v>246</v>
      </c>
      <c r="C217" s="112">
        <f>ROUNDUP(MAX(3, 5/C33), 0)</f>
        <v>8</v>
      </c>
      <c r="D217" s="112">
        <f>ROUNDUP(((C217)/2),0)</f>
        <v>4</v>
      </c>
      <c r="E217" s="296" t="str">
        <f>DEC2HEX(((D217)*2^0),8)</f>
        <v>00000004</v>
      </c>
      <c r="F217" s="128" t="s">
        <v>679</v>
      </c>
      <c r="G217" s="667"/>
      <c r="H217" s="667"/>
      <c r="I217" s="669"/>
      <c r="J217" s="18"/>
    </row>
    <row r="218" spans="1:11" ht="13.5" thickBot="1">
      <c r="J218" s="18"/>
      <c r="K218" s="65"/>
    </row>
    <row r="219" spans="1:11" ht="153">
      <c r="B219" s="57" t="s">
        <v>117</v>
      </c>
      <c r="C219" s="96">
        <v>0</v>
      </c>
      <c r="D219" s="56">
        <f>(C219/2)</f>
        <v>0</v>
      </c>
      <c r="E219" s="52" t="str">
        <f>DEC2HEX(((D219)*2^24),8)</f>
        <v>00000000</v>
      </c>
      <c r="F219" s="125" t="s">
        <v>249</v>
      </c>
      <c r="G219" s="710" t="s">
        <v>81</v>
      </c>
      <c r="H219" s="658" t="str">
        <f>"0x"&amp;DEC2HEX((HEX2DEC(C38)+280), 8)</f>
        <v>0x3D400118</v>
      </c>
      <c r="I219" s="711" t="str">
        <f>"0x"&amp;DEC2HEX((HEX2DEC(E219)+HEX2DEC(E220)+HEX2DEC(E221)), 8)</f>
        <v>0x00000003</v>
      </c>
      <c r="J219" s="18"/>
    </row>
    <row r="220" spans="1:11" ht="153">
      <c r="B220" s="81" t="s">
        <v>116</v>
      </c>
      <c r="C220" s="95">
        <v>0</v>
      </c>
      <c r="D220" s="61">
        <f>(C220/2)</f>
        <v>0</v>
      </c>
      <c r="E220" s="86" t="str">
        <f>DEC2HEX(((D220)*2^16),8)</f>
        <v>00000000</v>
      </c>
      <c r="F220" s="132" t="s">
        <v>247</v>
      </c>
      <c r="G220" s="824"/>
      <c r="H220" s="693"/>
      <c r="I220" s="694"/>
      <c r="J220" s="18"/>
    </row>
    <row r="221" spans="1:11" ht="179.25" thickBot="1">
      <c r="B221" s="59" t="s">
        <v>115</v>
      </c>
      <c r="C221" s="97" t="s">
        <v>0</v>
      </c>
      <c r="D221" s="250">
        <v>3</v>
      </c>
      <c r="E221" s="54" t="str">
        <f>DEC2HEX(((D221)*2^0),8)</f>
        <v>00000003</v>
      </c>
      <c r="F221" s="128" t="s">
        <v>248</v>
      </c>
      <c r="G221" s="659"/>
      <c r="H221" s="659"/>
      <c r="I221" s="661"/>
      <c r="J221" s="18"/>
    </row>
    <row r="222" spans="1:11" ht="9.75" customHeight="1" thickBot="1">
      <c r="B222" s="73"/>
      <c r="C222" s="74"/>
      <c r="D222" s="75"/>
      <c r="E222" s="36"/>
      <c r="F222" s="131"/>
      <c r="G222" s="78"/>
      <c r="H222" s="78"/>
      <c r="I222" s="78"/>
      <c r="J222" s="18"/>
    </row>
    <row r="223" spans="1:11" ht="178.5">
      <c r="A223" s="6"/>
      <c r="B223" s="57" t="s">
        <v>118</v>
      </c>
      <c r="C223" s="262" t="s">
        <v>0</v>
      </c>
      <c r="D223" s="87">
        <f>D215</f>
        <v>8</v>
      </c>
      <c r="E223" s="194" t="str">
        <f>DEC2HEX(((D223)*2^8),8)</f>
        <v>00000800</v>
      </c>
      <c r="F223" s="125" t="s">
        <v>250</v>
      </c>
      <c r="G223" s="710" t="s">
        <v>80</v>
      </c>
      <c r="H223" s="658" t="str">
        <f>"0x"&amp;DEC2HEX((HEX2DEC(C38)+284), 8)</f>
        <v>0x3D40011C</v>
      </c>
      <c r="I223" s="711" t="str">
        <f>"0x"&amp;DEC2HEX((HEX2DEC(E223)+HEX2DEC(E224)), 8)</f>
        <v>0x00000808</v>
      </c>
      <c r="J223" s="185"/>
    </row>
    <row r="224" spans="1:11" ht="192" thickBot="1">
      <c r="B224" s="59" t="s">
        <v>119</v>
      </c>
      <c r="C224" s="263" t="s">
        <v>0</v>
      </c>
      <c r="D224" s="151">
        <f>D214</f>
        <v>8</v>
      </c>
      <c r="E224" s="195" t="str">
        <f>DEC2HEX(((D224)*2^0),8)</f>
        <v>00000008</v>
      </c>
      <c r="F224" s="128" t="s">
        <v>251</v>
      </c>
      <c r="G224" s="659"/>
      <c r="H224" s="659"/>
      <c r="I224" s="661"/>
      <c r="J224" s="18"/>
    </row>
    <row r="225" spans="1:10" ht="15.75" thickBot="1">
      <c r="B225" s="73"/>
      <c r="C225" s="264"/>
      <c r="D225" s="111"/>
      <c r="E225" s="36"/>
      <c r="F225" s="131"/>
      <c r="G225" s="78"/>
      <c r="H225" s="78"/>
      <c r="I225" s="78"/>
      <c r="J225" s="18"/>
    </row>
    <row r="226" spans="1:10" ht="153">
      <c r="A226" s="6"/>
      <c r="B226" s="57" t="s">
        <v>365</v>
      </c>
      <c r="C226" s="350">
        <f>VLOOKUP(2, $N$8:$R$11, MATCH(C20, $N$8:$R$8, 0), FALSE) + 10</f>
        <v>170</v>
      </c>
      <c r="D226" s="110">
        <f>ROUNDUP(((C226)/C33)/32/2 + 1, 0)</f>
        <v>6</v>
      </c>
      <c r="E226" s="294" t="str">
        <f>DEC2HEX(((D226)*2^24),8)</f>
        <v>06000000</v>
      </c>
      <c r="F226" s="125" t="s">
        <v>1254</v>
      </c>
      <c r="G226" s="701" t="s">
        <v>369</v>
      </c>
      <c r="H226" s="702" t="str">
        <f>"0x"&amp;DEC2HEX((HEX2DEC(C38)+288), 8)</f>
        <v>0x3D400120</v>
      </c>
      <c r="I226" s="703" t="str">
        <f>"0x"&amp;DEC2HEX((HEX2DEC(E226)+HEX2DEC(E227)+HEX2DEC(E228)+HEX2DEC(E229)), 8)</f>
        <v>0x06060D0A</v>
      </c>
      <c r="J226" s="18"/>
    </row>
    <row r="227" spans="1:10" ht="153">
      <c r="B227" s="58" t="s">
        <v>366</v>
      </c>
      <c r="C227" s="265" t="s">
        <v>0</v>
      </c>
      <c r="D227" s="145">
        <f>D226</f>
        <v>6</v>
      </c>
      <c r="E227" s="295" t="str">
        <f>DEC2HEX(((D227)*2^16),8)</f>
        <v>00060000</v>
      </c>
      <c r="F227" s="124" t="s">
        <v>1255</v>
      </c>
      <c r="G227" s="666"/>
      <c r="H227" s="666"/>
      <c r="I227" s="668"/>
      <c r="J227" s="18"/>
    </row>
    <row r="228" spans="1:10" ht="102">
      <c r="B228" s="58" t="s">
        <v>367</v>
      </c>
      <c r="C228" s="270">
        <v>768</v>
      </c>
      <c r="D228" s="145">
        <f>ROUNDUP((C228/32/2) + 1, 0)</f>
        <v>13</v>
      </c>
      <c r="E228" s="295" t="str">
        <f>DEC2HEX(((D228)*2^8),8)</f>
        <v>00000D00</v>
      </c>
      <c r="F228" s="124" t="s">
        <v>680</v>
      </c>
      <c r="G228" s="666"/>
      <c r="H228" s="666"/>
      <c r="I228" s="668"/>
      <c r="J228" s="18"/>
    </row>
    <row r="229" spans="1:10" ht="102.75" thickBot="1">
      <c r="B229" s="59" t="s">
        <v>368</v>
      </c>
      <c r="C229" s="351">
        <f>VLOOKUP(0, $N$8:$R$11, MATCH(C20, $N$8:$R$8, 0), FALSE)+10</f>
        <v>360</v>
      </c>
      <c r="D229" s="112">
        <f>ROUNDUP(C229/C33/32/2 + 1, 0)</f>
        <v>10</v>
      </c>
      <c r="E229" s="296" t="str">
        <f>DEC2HEX(((D229)*2^0),8)</f>
        <v>0000000A</v>
      </c>
      <c r="F229" s="128" t="s">
        <v>690</v>
      </c>
      <c r="G229" s="667"/>
      <c r="H229" s="667"/>
      <c r="I229" s="669"/>
      <c r="J229" s="18" t="s">
        <v>689</v>
      </c>
    </row>
    <row r="230" spans="1:10" ht="13.5" thickBot="1">
      <c r="B230" s="67"/>
      <c r="C230" s="68"/>
      <c r="D230" s="266"/>
      <c r="E230" s="70"/>
      <c r="F230" s="131"/>
      <c r="G230" s="36"/>
      <c r="H230" s="36"/>
      <c r="I230" s="55"/>
      <c r="J230" s="18"/>
    </row>
    <row r="231" spans="1:10" ht="63.75">
      <c r="A231" s="6"/>
      <c r="B231" s="57" t="s">
        <v>371</v>
      </c>
      <c r="C231" s="262" t="s">
        <v>0</v>
      </c>
      <c r="D231" s="171">
        <v>0</v>
      </c>
      <c r="E231" s="294" t="str">
        <f>DEC2HEX(((D231)*2^30),8)</f>
        <v>00000000</v>
      </c>
      <c r="F231" s="125" t="s">
        <v>681</v>
      </c>
      <c r="G231" s="701" t="s">
        <v>370</v>
      </c>
      <c r="H231" s="702" t="str">
        <f>"0x"&amp;DEC2HEX((HEX2DEC(C38)+292), 8)</f>
        <v>0x3D400124</v>
      </c>
      <c r="I231" s="703" t="str">
        <f>"0x"&amp;DEC2HEX((HEX2DEC(E231)+HEX2DEC(E232)+HEX2DEC(E233)+HEX2DEC(E234)), 8)</f>
        <v>0x0002050C</v>
      </c>
      <c r="J231" s="18"/>
    </row>
    <row r="232" spans="1:10" ht="127.5">
      <c r="B232" s="58" t="s">
        <v>372</v>
      </c>
      <c r="C232" s="265">
        <v>4</v>
      </c>
      <c r="D232" s="145">
        <f>C232/2</f>
        <v>2</v>
      </c>
      <c r="E232" s="295" t="str">
        <f>DEC2HEX(((D232)*2^16),8)</f>
        <v>00020000</v>
      </c>
      <c r="F232" s="124" t="s">
        <v>686</v>
      </c>
      <c r="G232" s="666"/>
      <c r="H232" s="666"/>
      <c r="I232" s="668"/>
      <c r="J232" s="18"/>
    </row>
    <row r="233" spans="1:10" ht="140.25">
      <c r="B233" s="58" t="s">
        <v>373</v>
      </c>
      <c r="C233" s="349">
        <f>ROUNDUP(IF(C30=16, MAX(4, 5.3/C33), MAX(4, 3.3/C33)), 0)</f>
        <v>9</v>
      </c>
      <c r="D233" s="145">
        <f>ROUNDUP(C233/2, 0)</f>
        <v>5</v>
      </c>
      <c r="E233" s="295" t="str">
        <f>DEC2HEX(((D233)*2^8),8)</f>
        <v>00000500</v>
      </c>
      <c r="F233" s="124" t="s">
        <v>682</v>
      </c>
      <c r="G233" s="666"/>
      <c r="H233" s="666"/>
      <c r="I233" s="668"/>
      <c r="J233" s="18"/>
    </row>
    <row r="234" spans="1:10" ht="281.25" thickBot="1">
      <c r="B234" s="59" t="s">
        <v>374</v>
      </c>
      <c r="C234" s="351">
        <f>ROUNDUP(MAX(2, 2.5/C33),0)</f>
        <v>4</v>
      </c>
      <c r="D234" s="112">
        <f>ROUNDUP((C200  + IF(C32&lt;1200, 4, 5)*D156 + D52 + C234 )/2, 0)</f>
        <v>12</v>
      </c>
      <c r="E234" s="296" t="str">
        <f>DEC2HEX(((D234)*2^0),8)</f>
        <v>0000000C</v>
      </c>
      <c r="F234" s="128" t="s">
        <v>683</v>
      </c>
      <c r="G234" s="667"/>
      <c r="H234" s="667"/>
      <c r="I234" s="669"/>
      <c r="J234" s="18"/>
    </row>
    <row r="235" spans="1:10" ht="13.5" thickBot="1">
      <c r="B235" s="67"/>
      <c r="C235" s="68"/>
      <c r="D235" s="69"/>
      <c r="E235" s="70"/>
      <c r="F235" s="131"/>
      <c r="G235" s="36"/>
      <c r="H235" s="36"/>
      <c r="I235" s="55"/>
      <c r="J235" s="18"/>
    </row>
    <row r="236" spans="1:10" ht="165.75">
      <c r="A236" s="6"/>
      <c r="B236" s="57" t="s">
        <v>383</v>
      </c>
      <c r="C236" s="262" t="s">
        <v>0</v>
      </c>
      <c r="D236" s="110">
        <f>ROUNDUP((C229/C33 + C228)/32/2 +1, 0)</f>
        <v>22</v>
      </c>
      <c r="E236" s="294" t="str">
        <f>DEC2HEX(((D236)*2^24),8)</f>
        <v>16000000</v>
      </c>
      <c r="F236" s="125" t="s">
        <v>688</v>
      </c>
      <c r="G236" s="701" t="s">
        <v>387</v>
      </c>
      <c r="H236" s="702" t="str">
        <f>"0x"&amp;DEC2HEX((HEX2DEC(C38)+300), 8)</f>
        <v>0x3D40012C</v>
      </c>
      <c r="I236" s="703" t="str">
        <f>"0x"&amp;DEC2HEX((HEX2DEC(E236)+HEX2DEC(E237)+HEX2DEC(E238)+HEX2DEC(E239)), 8)</f>
        <v>0x160B010E</v>
      </c>
      <c r="J236" s="18"/>
    </row>
    <row r="237" spans="1:10" ht="102">
      <c r="B237" s="58" t="s">
        <v>384</v>
      </c>
      <c r="C237" s="265">
        <v>12</v>
      </c>
      <c r="D237" s="145">
        <f>ROUNDUP(C237/C33/2, 0)+1</f>
        <v>11</v>
      </c>
      <c r="E237" s="295" t="str">
        <f>DEC2HEX(((D237)*2^16),8)</f>
        <v>000B0000</v>
      </c>
      <c r="F237" s="124" t="s">
        <v>691</v>
      </c>
      <c r="G237" s="666"/>
      <c r="H237" s="666"/>
      <c r="I237" s="668"/>
      <c r="J237" s="18"/>
    </row>
    <row r="238" spans="1:10" ht="140.25">
      <c r="B238" s="58" t="s">
        <v>385</v>
      </c>
      <c r="C238" s="145">
        <f>0.062+0.087</f>
        <v>0.14899999999999999</v>
      </c>
      <c r="D238" s="145">
        <f>ROUNDUP(C238/C33/2, 0)</f>
        <v>1</v>
      </c>
      <c r="E238" s="295" t="str">
        <f>DEC2HEX(((D238)*2^8),8)</f>
        <v>00000100</v>
      </c>
      <c r="F238" s="124" t="s">
        <v>692</v>
      </c>
      <c r="G238" s="666"/>
      <c r="H238" s="666"/>
      <c r="I238" s="668"/>
      <c r="J238" s="18"/>
    </row>
    <row r="239" spans="1:10" ht="128.25" thickBot="1">
      <c r="B239" s="59" t="s">
        <v>386</v>
      </c>
      <c r="C239" s="351">
        <f>(MAX(24, 15/C33)+4)</f>
        <v>28</v>
      </c>
      <c r="D239" s="112">
        <f>ROUNDUP(C239/2,0)</f>
        <v>14</v>
      </c>
      <c r="E239" s="296" t="str">
        <f>DEC2HEX(((D239)*2^0),8)</f>
        <v>0000000E</v>
      </c>
      <c r="F239" s="128" t="s">
        <v>687</v>
      </c>
      <c r="G239" s="667"/>
      <c r="H239" s="667"/>
      <c r="I239" s="669"/>
      <c r="J239" s="18"/>
    </row>
    <row r="240" spans="1:10" ht="13.5" thickBot="1">
      <c r="B240" s="67"/>
      <c r="C240" s="68"/>
      <c r="D240" s="69"/>
      <c r="E240" s="70"/>
      <c r="F240" s="131"/>
      <c r="G240" s="36"/>
      <c r="H240" s="36"/>
      <c r="I240" s="55"/>
      <c r="J240" s="18"/>
    </row>
    <row r="241" spans="1:10" ht="89.25">
      <c r="A241" s="6"/>
      <c r="B241" s="57" t="s">
        <v>197</v>
      </c>
      <c r="C241" s="171">
        <v>0</v>
      </c>
      <c r="D241" s="110">
        <f>ROUNDUP( (C241/2), 0)</f>
        <v>0</v>
      </c>
      <c r="E241" s="294" t="str">
        <f>DEC2HEX(((D241)*2^16),8)</f>
        <v>00000000</v>
      </c>
      <c r="F241" s="125" t="s">
        <v>388</v>
      </c>
      <c r="G241" s="688" t="s">
        <v>199</v>
      </c>
      <c r="H241" s="688" t="str">
        <f>"0x"&amp;DEC2HEX((HEX2DEC(C38)+304), 8)</f>
        <v>0x3D400130</v>
      </c>
      <c r="I241" s="660" t="str">
        <f>"0x"&amp;DEC2HEX((HEX2DEC(E241)+HEX2DEC(E242)), 8)</f>
        <v>0x00000008</v>
      </c>
      <c r="J241" s="184"/>
    </row>
    <row r="242" spans="1:10" ht="77.25" thickBot="1">
      <c r="B242" s="59" t="s">
        <v>198</v>
      </c>
      <c r="C242" s="352">
        <f>MAX(16, 10/C33)</f>
        <v>16</v>
      </c>
      <c r="D242" s="112">
        <f>ROUNDUP(C242/2, 0)</f>
        <v>8</v>
      </c>
      <c r="E242" s="296" t="str">
        <f>DEC2HEX(((D242)*2^0),8)</f>
        <v>00000008</v>
      </c>
      <c r="F242" s="128" t="s">
        <v>693</v>
      </c>
      <c r="G242" s="690"/>
      <c r="H242" s="690"/>
      <c r="I242" s="692"/>
      <c r="J242" s="18"/>
    </row>
    <row r="243" spans="1:10" ht="15.75" thickBot="1">
      <c r="B243" s="73"/>
      <c r="C243" s="170"/>
      <c r="D243" s="157"/>
      <c r="E243" s="36"/>
      <c r="F243" s="131"/>
      <c r="G243" s="36"/>
      <c r="H243" s="36"/>
      <c r="I243" s="55"/>
      <c r="J243" s="18"/>
    </row>
    <row r="244" spans="1:10" ht="51">
      <c r="B244" s="57" t="s">
        <v>694</v>
      </c>
      <c r="C244" s="354" t="s">
        <v>0</v>
      </c>
      <c r="D244" s="233">
        <v>0</v>
      </c>
      <c r="E244" s="294" t="str">
        <f>DEC2HEX(((D244)*2^31),8)</f>
        <v>00000000</v>
      </c>
      <c r="F244" s="125" t="s">
        <v>697</v>
      </c>
      <c r="G244" s="665" t="s">
        <v>698</v>
      </c>
      <c r="H244" s="665" t="str">
        <f>"0x"&amp;DEC2HEX((HEX2DEC(C38)+316), 8)</f>
        <v>0x3D40013C</v>
      </c>
      <c r="I244" s="651" t="str">
        <f>"0x"&amp;DEC2HEX((HEX2DEC(E244)+HEX2DEC(E245)), 8)</f>
        <v>0x00000000</v>
      </c>
      <c r="J244" s="18"/>
    </row>
    <row r="245" spans="1:10" ht="153.75" thickBot="1">
      <c r="B245" s="59" t="s">
        <v>695</v>
      </c>
      <c r="C245" s="353" t="s">
        <v>0</v>
      </c>
      <c r="D245" s="355">
        <v>0</v>
      </c>
      <c r="E245" s="296" t="str">
        <f>DEC2HEX(((D245)*2^0),8)</f>
        <v>00000000</v>
      </c>
      <c r="F245" s="128" t="s">
        <v>696</v>
      </c>
      <c r="G245" s="704"/>
      <c r="H245" s="704"/>
      <c r="I245" s="653"/>
      <c r="J245" s="18"/>
    </row>
    <row r="246" spans="1:10" ht="11.25" customHeight="1" thickBot="1">
      <c r="B246" s="73"/>
      <c r="C246" s="143"/>
      <c r="D246" s="143"/>
      <c r="E246" s="36"/>
      <c r="F246" s="131"/>
      <c r="G246" s="36"/>
      <c r="H246" s="36"/>
      <c r="I246" s="55"/>
      <c r="J246" s="18"/>
    </row>
    <row r="247" spans="1:10" ht="91.5" customHeight="1">
      <c r="B247" s="57" t="s">
        <v>124</v>
      </c>
      <c r="C247" s="64" t="s">
        <v>0</v>
      </c>
      <c r="D247" s="56">
        <v>0</v>
      </c>
      <c r="E247" s="52" t="str">
        <f>DEC2HEX(((D247)*2^31),8)</f>
        <v>00000000</v>
      </c>
      <c r="F247" s="125" t="s">
        <v>72</v>
      </c>
      <c r="G247" s="688" t="s">
        <v>49</v>
      </c>
      <c r="H247" s="688" t="str">
        <f>"0x"&amp;DEC2HEX((HEX2DEC(C38)+384), 8)</f>
        <v>0x3D400180</v>
      </c>
      <c r="I247" s="660" t="str">
        <f>"0x"&amp;DEC2HEX((HEX2DEC(E247)+HEX2DEC(E248)+HEX2DEC(E249)+HEX2DEC(E250)+HEX2DEC(E251)+HEX2DEC(E252)), 8)</f>
        <v>0x01000040</v>
      </c>
      <c r="J247" s="18"/>
    </row>
    <row r="248" spans="1:10" ht="54.75" customHeight="1">
      <c r="B248" s="58" t="s">
        <v>125</v>
      </c>
      <c r="C248" s="60" t="s">
        <v>0</v>
      </c>
      <c r="D248" s="480">
        <v>0</v>
      </c>
      <c r="E248" s="53" t="str">
        <f>DEC2HEX(((D248)*2^30),8)</f>
        <v>00000000</v>
      </c>
      <c r="F248" s="124" t="s">
        <v>73</v>
      </c>
      <c r="G248" s="689"/>
      <c r="H248" s="689"/>
      <c r="I248" s="691"/>
      <c r="J248" s="18"/>
    </row>
    <row r="249" spans="1:10" ht="93" customHeight="1">
      <c r="B249" s="58" t="s">
        <v>126</v>
      </c>
      <c r="C249" s="60" t="s">
        <v>0</v>
      </c>
      <c r="D249" s="357">
        <v>0</v>
      </c>
      <c r="E249" s="53" t="str">
        <f>DEC2HEX(((D249)*2^29),8)</f>
        <v>00000000</v>
      </c>
      <c r="F249" s="127" t="s">
        <v>74</v>
      </c>
      <c r="G249" s="689"/>
      <c r="H249" s="689"/>
      <c r="I249" s="691"/>
      <c r="J249" s="18"/>
    </row>
    <row r="250" spans="1:10" ht="93" customHeight="1">
      <c r="B250" s="72" t="s">
        <v>200</v>
      </c>
      <c r="C250" s="89" t="s">
        <v>0</v>
      </c>
      <c r="D250" s="481">
        <v>0</v>
      </c>
      <c r="E250" s="147" t="str">
        <f>DEC2HEX(((D250)*2^28),8)</f>
        <v>00000000</v>
      </c>
      <c r="F250" s="149" t="s">
        <v>201</v>
      </c>
      <c r="G250" s="689"/>
      <c r="H250" s="689"/>
      <c r="I250" s="691"/>
      <c r="J250" s="18"/>
    </row>
    <row r="251" spans="1:10" ht="191.25">
      <c r="B251" s="72" t="s">
        <v>127</v>
      </c>
      <c r="C251" s="60">
        <v>512</v>
      </c>
      <c r="D251" s="107">
        <f>ROUNDUP(((C251)/2),0)</f>
        <v>256</v>
      </c>
      <c r="E251" s="53" t="str">
        <f>DEC2HEX(((D251)*2^16),8)</f>
        <v>01000000</v>
      </c>
      <c r="F251" s="127" t="s">
        <v>704</v>
      </c>
      <c r="G251" s="689"/>
      <c r="H251" s="689"/>
      <c r="I251" s="691"/>
      <c r="J251" s="18"/>
    </row>
    <row r="252" spans="1:10" ht="115.5" thickBot="1">
      <c r="B252" s="59" t="s">
        <v>128</v>
      </c>
      <c r="C252" s="356">
        <v>128</v>
      </c>
      <c r="D252" s="112">
        <f>ROUNDUP(((C252)/2),0)</f>
        <v>64</v>
      </c>
      <c r="E252" s="54" t="str">
        <f>DEC2HEX(((D252)*2^0),8)</f>
        <v>00000040</v>
      </c>
      <c r="F252" s="128" t="s">
        <v>705</v>
      </c>
      <c r="G252" s="690"/>
      <c r="H252" s="690"/>
      <c r="I252" s="692"/>
      <c r="J252" s="18"/>
    </row>
    <row r="253" spans="1:10" ht="7.5" customHeight="1" thickBot="1">
      <c r="B253" s="67"/>
      <c r="C253" s="68"/>
      <c r="D253" s="69"/>
      <c r="E253" s="70"/>
      <c r="F253" s="131"/>
      <c r="G253" s="36"/>
      <c r="H253" s="36"/>
      <c r="I253" s="55"/>
      <c r="J253" s="18"/>
    </row>
    <row r="254" spans="1:10" ht="127.5">
      <c r="B254" s="57" t="s">
        <v>129</v>
      </c>
      <c r="C254" s="64">
        <v>0</v>
      </c>
      <c r="D254" s="87">
        <f>(IF(C17="DDR3",32, ROUNDUP((C254/C33)/2,0)))</f>
        <v>0</v>
      </c>
      <c r="E254" s="52" t="str">
        <f>DEC2HEX(((D254)*2^20),8)</f>
        <v>00000000</v>
      </c>
      <c r="F254" s="125" t="s">
        <v>252</v>
      </c>
      <c r="G254" s="688" t="s">
        <v>83</v>
      </c>
      <c r="H254" s="688" t="str">
        <f>"0x"&amp;DEC2HEX((HEX2DEC(C38)+388), 8)</f>
        <v>0x3D400184</v>
      </c>
      <c r="I254" s="660" t="str">
        <f>"0x"&amp;DEC2HEX((HEX2DEC(E254)+HEX2DEC(E255)), 8)</f>
        <v>0x000061A8</v>
      </c>
      <c r="J254" s="18"/>
    </row>
    <row r="255" spans="1:10" ht="128.25" thickBot="1">
      <c r="B255" s="59" t="s">
        <v>130</v>
      </c>
      <c r="C255" s="92">
        <v>32</v>
      </c>
      <c r="D255" s="63">
        <f>ROUNDUP((C255*1000000)/2/C33/1024, 0)</f>
        <v>25000</v>
      </c>
      <c r="E255" s="54" t="str">
        <f>DEC2HEX(((D255)*2^0),8)</f>
        <v>000061A8</v>
      </c>
      <c r="F255" s="128" t="s">
        <v>265</v>
      </c>
      <c r="G255" s="659"/>
      <c r="H255" s="659"/>
      <c r="I255" s="661"/>
      <c r="J255" s="18"/>
    </row>
    <row r="256" spans="1:10" ht="13.5" thickBot="1">
      <c r="B256" s="73"/>
      <c r="C256" s="98"/>
      <c r="D256" s="75"/>
      <c r="E256" s="36"/>
      <c r="F256" s="131"/>
      <c r="G256" s="78"/>
      <c r="H256" s="78"/>
      <c r="I256" s="78"/>
      <c r="J256" s="18"/>
    </row>
    <row r="257" spans="2:11" ht="234.75" customHeight="1">
      <c r="B257" s="57" t="s">
        <v>844</v>
      </c>
      <c r="C257" s="64" t="s">
        <v>0</v>
      </c>
      <c r="D257" s="87">
        <f>5 + (D313+1) + D155</f>
        <v>6</v>
      </c>
      <c r="E257" s="294" t="str">
        <f>DEC2HEX(((D257)*2^24),8)</f>
        <v>06000000</v>
      </c>
      <c r="F257" s="125" t="s">
        <v>845</v>
      </c>
      <c r="G257" s="662" t="s">
        <v>846</v>
      </c>
      <c r="H257" s="665" t="str">
        <f>"0x"&amp;DEC2HEX((HEX2DEC(C38)+576), 8)</f>
        <v>0x3D400240</v>
      </c>
      <c r="I257" s="651" t="str">
        <f>"0x"&amp;DEC2HEX((HEX2DEC(E257)+HEX2DEC(E258)+HEX2DEC(E259)+HEX2DEC(E260)), 8)</f>
        <v>0x06000618</v>
      </c>
      <c r="J257" s="845"/>
      <c r="K257" s="181"/>
    </row>
    <row r="258" spans="2:11" ht="214.5" customHeight="1">
      <c r="B258" s="58" t="s">
        <v>847</v>
      </c>
      <c r="C258" s="60" t="s">
        <v>0</v>
      </c>
      <c r="D258" s="190">
        <f>D357</f>
        <v>0</v>
      </c>
      <c r="E258" s="295" t="str">
        <f>DEC2HEX(((D258)*2^16),8)</f>
        <v>00000000</v>
      </c>
      <c r="F258" s="124" t="s">
        <v>848</v>
      </c>
      <c r="G258" s="663"/>
      <c r="H258" s="666"/>
      <c r="I258" s="668"/>
      <c r="J258" s="845"/>
      <c r="K258" s="181"/>
    </row>
    <row r="259" spans="2:11" ht="208.5" customHeight="1">
      <c r="B259" s="58" t="s">
        <v>849</v>
      </c>
      <c r="C259" s="60" t="s">
        <v>0</v>
      </c>
      <c r="D259" s="190">
        <f>5+(D314+1)</f>
        <v>6</v>
      </c>
      <c r="E259" s="295" t="str">
        <f>DEC2HEX(((D259)*2^8),8)</f>
        <v>00000600</v>
      </c>
      <c r="F259" s="124" t="s">
        <v>850</v>
      </c>
      <c r="G259" s="663"/>
      <c r="H259" s="666"/>
      <c r="I259" s="668"/>
      <c r="J259" s="845"/>
      <c r="K259" s="181"/>
    </row>
    <row r="260" spans="2:11" ht="306.75" thickBot="1">
      <c r="B260" s="59" t="s">
        <v>851</v>
      </c>
      <c r="C260" s="62" t="s">
        <v>0</v>
      </c>
      <c r="D260" s="151">
        <f>C201-C200 - (D314 + 1) + (D313+1) + D357</f>
        <v>6</v>
      </c>
      <c r="E260" s="296" t="str">
        <f>DEC2HEX(((D260)*2^2),8)</f>
        <v>00000018</v>
      </c>
      <c r="F260" s="128" t="s">
        <v>852</v>
      </c>
      <c r="G260" s="664"/>
      <c r="H260" s="667"/>
      <c r="I260" s="669"/>
      <c r="J260" s="845"/>
      <c r="K260" s="181"/>
    </row>
    <row r="261" spans="2:11">
      <c r="B261" s="73"/>
      <c r="C261" s="98"/>
      <c r="D261" s="75"/>
      <c r="E261" s="36"/>
      <c r="F261" s="131"/>
      <c r="G261" s="78"/>
      <c r="H261" s="78"/>
      <c r="I261" s="78"/>
      <c r="J261" s="18"/>
    </row>
    <row r="262" spans="2:11" ht="11.25" customHeight="1" thickBot="1">
      <c r="B262" s="73"/>
      <c r="C262" s="74"/>
      <c r="D262" s="75"/>
      <c r="E262" s="113"/>
      <c r="F262" s="71"/>
      <c r="G262" s="78"/>
      <c r="H262" s="78"/>
      <c r="I262" s="78"/>
      <c r="J262" s="79"/>
    </row>
    <row r="263" spans="2:11" ht="13.5" thickBot="1">
      <c r="B263" s="788" t="s">
        <v>181</v>
      </c>
      <c r="C263" s="789"/>
      <c r="D263" s="789"/>
      <c r="E263" s="789"/>
      <c r="F263" s="789"/>
      <c r="G263" s="789"/>
      <c r="H263" s="789"/>
      <c r="I263" s="790"/>
      <c r="J263" s="18"/>
      <c r="K263" s="65"/>
    </row>
    <row r="264" spans="2:11" ht="108.75" customHeight="1">
      <c r="B264" s="57" t="s">
        <v>173</v>
      </c>
      <c r="C264" s="64" t="s">
        <v>0</v>
      </c>
      <c r="D264" s="171">
        <v>1</v>
      </c>
      <c r="E264" s="52" t="str">
        <f>DEC2HEX(((D264)*2^12),8)</f>
        <v>00001000</v>
      </c>
      <c r="F264" s="125" t="s">
        <v>62</v>
      </c>
      <c r="G264" s="665" t="s">
        <v>59</v>
      </c>
      <c r="H264" s="665" t="str">
        <f>"0x"&amp;DEC2HEX((HEX2DEC(C38)+580), 8)</f>
        <v>0x3D400244</v>
      </c>
      <c r="I264" s="651" t="str">
        <f>"0x"&amp;DEC2HEX((HEX2DEC(E264)+HEX2DEC(E265)+HEX2DEC(E266)+HEX2DEC(E267)), 8)</f>
        <v>0x00001323</v>
      </c>
      <c r="J264" s="845"/>
      <c r="K264" s="181"/>
    </row>
    <row r="265" spans="2:11" ht="99.75" customHeight="1">
      <c r="B265" s="58" t="s">
        <v>174</v>
      </c>
      <c r="C265" s="60" t="s">
        <v>0</v>
      </c>
      <c r="D265" s="179">
        <v>3</v>
      </c>
      <c r="E265" s="53" t="str">
        <f>DEC2HEX(((D265)*2^8),8)</f>
        <v>00000300</v>
      </c>
      <c r="F265" s="124" t="s">
        <v>63</v>
      </c>
      <c r="G265" s="666"/>
      <c r="H265" s="666"/>
      <c r="I265" s="668"/>
      <c r="J265" s="845"/>
      <c r="K265" s="181"/>
    </row>
    <row r="266" spans="2:11" ht="102" customHeight="1">
      <c r="B266" s="58" t="s">
        <v>175</v>
      </c>
      <c r="C266" s="60" t="s">
        <v>0</v>
      </c>
      <c r="D266" s="179">
        <v>2</v>
      </c>
      <c r="E266" s="53" t="str">
        <f>DEC2HEX(((D266)*2^4),8)</f>
        <v>00000020</v>
      </c>
      <c r="F266" s="124" t="s">
        <v>61</v>
      </c>
      <c r="G266" s="666"/>
      <c r="H266" s="666"/>
      <c r="I266" s="668"/>
      <c r="J266" s="845"/>
      <c r="K266" s="181"/>
    </row>
    <row r="267" spans="2:11" ht="102.75" customHeight="1" thickBot="1">
      <c r="B267" s="59" t="s">
        <v>176</v>
      </c>
      <c r="C267" s="62" t="s">
        <v>0</v>
      </c>
      <c r="D267" s="180">
        <v>3</v>
      </c>
      <c r="E267" s="54" t="str">
        <f>DEC2HEX(((D267)*2^0),8)</f>
        <v>00000003</v>
      </c>
      <c r="F267" s="128" t="s">
        <v>60</v>
      </c>
      <c r="G267" s="667"/>
      <c r="H267" s="667"/>
      <c r="I267" s="669"/>
      <c r="J267" s="845"/>
      <c r="K267" s="181"/>
    </row>
    <row r="268" spans="2:11">
      <c r="B268" s="73"/>
      <c r="C268" s="74"/>
      <c r="D268" s="75"/>
      <c r="E268" s="36"/>
      <c r="F268" s="71"/>
      <c r="G268" s="78"/>
      <c r="H268" s="78"/>
      <c r="I268" s="78"/>
      <c r="J268" s="79"/>
    </row>
    <row r="269" spans="2:11" ht="13.5" thickBot="1">
      <c r="B269" s="73"/>
      <c r="C269" s="74"/>
      <c r="D269" s="75"/>
      <c r="E269" s="36"/>
      <c r="F269" s="71"/>
      <c r="G269" s="78"/>
      <c r="H269" s="78"/>
      <c r="I269" s="78"/>
      <c r="J269" s="79"/>
    </row>
    <row r="270" spans="2:11" s="8" customFormat="1" ht="13.5" thickBot="1">
      <c r="B270" s="818" t="s">
        <v>399</v>
      </c>
      <c r="C270" s="819"/>
      <c r="D270" s="819"/>
      <c r="E270" s="819"/>
      <c r="F270" s="819"/>
      <c r="G270" s="819"/>
      <c r="H270" s="819"/>
      <c r="I270" s="820"/>
    </row>
    <row r="271" spans="2:11" s="8" customFormat="1" ht="13.5" thickBot="1">
      <c r="B271" s="25"/>
      <c r="E271" s="13"/>
      <c r="G271" s="13"/>
      <c r="H271" s="13"/>
      <c r="I271" s="13"/>
    </row>
    <row r="272" spans="2:11" s="8" customFormat="1" ht="39" thickBot="1">
      <c r="B272" s="2" t="s">
        <v>398</v>
      </c>
      <c r="C272" s="2" t="s">
        <v>5</v>
      </c>
      <c r="D272" s="2" t="s">
        <v>7</v>
      </c>
      <c r="E272" s="2" t="s">
        <v>6</v>
      </c>
      <c r="F272" s="4" t="s">
        <v>1</v>
      </c>
      <c r="G272" s="46" t="s">
        <v>3</v>
      </c>
      <c r="H272" s="5" t="s">
        <v>219</v>
      </c>
      <c r="I272" s="5" t="s">
        <v>4</v>
      </c>
    </row>
    <row r="273" spans="2:9" s="8" customFormat="1" ht="36.75" customHeight="1">
      <c r="B273" s="282" t="s">
        <v>361</v>
      </c>
      <c r="C273" s="363" t="s">
        <v>0</v>
      </c>
      <c r="D273" s="118">
        <f>IF(C189&lt;26, 0, 1)</f>
        <v>0</v>
      </c>
      <c r="E273" s="283" t="str">
        <f>DEC2HEX(((D273)*2^(16+13)),8)</f>
        <v>00000000</v>
      </c>
      <c r="F273" s="850" t="s">
        <v>729</v>
      </c>
      <c r="G273" s="836" t="s">
        <v>41</v>
      </c>
      <c r="H273" s="836" t="str">
        <f>"0x"&amp;DEC2HEX((HEX2DEC(C38)+220), 8)</f>
        <v>0x3D4000DC</v>
      </c>
      <c r="I273" s="839" t="str">
        <f>"0x"&amp;DEC2HEX((HEX2DEC(E273)+HEX2DEC(E274)+HEX2DEC(E275)+HEX2DEC(E276)+HEX2DEC(E277)+HEX2DEC(E278)+HEX2DEC(E279)+HEX2DEC(E280)+HEX2DEC(E281)+HEX2DEC(E282)+HEX2DEC(E283)+HEX2DEC(E284)+HEX2DEC(E285)+HEX2DEC(E286)+HEX2DEC(E287)+HEX2DEC(E288)+HEX2DEC(E289)+HEX2DEC(E290)+HEX2DEC(E291)+HEX2DEC(E292)),8)</f>
        <v>0x0C500501</v>
      </c>
    </row>
    <row r="274" spans="2:9" s="8" customFormat="1" ht="34.5" customHeight="1">
      <c r="B274" s="284" t="s">
        <v>362</v>
      </c>
      <c r="C274" s="364" t="s">
        <v>0</v>
      </c>
      <c r="D274" s="118">
        <f>IF(C189&lt;18, 0, 1)</f>
        <v>1</v>
      </c>
      <c r="E274" s="103" t="str">
        <f>DEC2HEX(((D274)*2^(16+11)),8)</f>
        <v>08000000</v>
      </c>
      <c r="F274" s="656"/>
      <c r="G274" s="837"/>
      <c r="H274" s="837"/>
      <c r="I274" s="840"/>
    </row>
    <row r="275" spans="2:9" s="8" customFormat="1" ht="37.5" customHeight="1">
      <c r="B275" s="284" t="s">
        <v>363</v>
      </c>
      <c r="C275" s="364" t="s">
        <v>0</v>
      </c>
      <c r="D275" s="118">
        <f>IF(OR(C189=14, C189=16, C189=24, C189=22), 1, 0)</f>
        <v>1</v>
      </c>
      <c r="E275" s="103" t="str">
        <f>DEC2HEX(((D275)*2^(16+10)),8)</f>
        <v>04000000</v>
      </c>
      <c r="F275" s="656"/>
      <c r="G275" s="837"/>
      <c r="H275" s="837"/>
      <c r="I275" s="840"/>
    </row>
    <row r="276" spans="2:9" s="8" customFormat="1" ht="40.5" customHeight="1">
      <c r="B276" s="284" t="s">
        <v>364</v>
      </c>
      <c r="C276" s="364" t="s">
        <v>0</v>
      </c>
      <c r="D276" s="118">
        <f>IF(OR(C189=12, C189=16, C189=20, C189=22, C189=28), 1, 0)</f>
        <v>0</v>
      </c>
      <c r="E276" s="103" t="str">
        <f>DEC2HEX(((D276)*2^(16+9)),8)</f>
        <v>00000000</v>
      </c>
      <c r="F276" s="656"/>
      <c r="G276" s="837"/>
      <c r="H276" s="837"/>
      <c r="I276" s="840"/>
    </row>
    <row r="277" spans="2:9" s="8" customFormat="1" ht="38.25">
      <c r="B277" s="284" t="s">
        <v>353</v>
      </c>
      <c r="C277" s="364" t="s">
        <v>0</v>
      </c>
      <c r="D277" s="245">
        <v>0</v>
      </c>
      <c r="E277" s="103" t="str">
        <f>DEC2HEX(((D277)*2^(16+8)),8)</f>
        <v>00000000</v>
      </c>
      <c r="F277" s="150" t="s">
        <v>730</v>
      </c>
      <c r="G277" s="837"/>
      <c r="H277" s="837"/>
      <c r="I277" s="840"/>
    </row>
    <row r="278" spans="2:9" s="8" customFormat="1" ht="25.5">
      <c r="B278" s="284" t="s">
        <v>354</v>
      </c>
      <c r="C278" s="364" t="s">
        <v>0</v>
      </c>
      <c r="D278" s="245">
        <v>0</v>
      </c>
      <c r="E278" s="103" t="str">
        <f>DEC2HEX(((D278)*2^(16+7)),8)</f>
        <v>00000000</v>
      </c>
      <c r="F278" s="150" t="s">
        <v>731</v>
      </c>
      <c r="G278" s="837"/>
      <c r="H278" s="837"/>
      <c r="I278" s="840"/>
    </row>
    <row r="279" spans="2:9" s="8" customFormat="1" ht="39.75" customHeight="1">
      <c r="B279" s="284" t="s">
        <v>355</v>
      </c>
      <c r="C279" s="364" t="s">
        <v>0</v>
      </c>
      <c r="D279" s="717">
        <f>IF(C201&lt;17, C201-9, IF(C201=18, 8, IF(C201=20, 9, IF(C201=22, 10, IF(C201=24, 11, IF(C201=23, 12, IF(C201=17, 13, IF(C201=19, 14, IF(C201=21, 15, 0)))))))))</f>
        <v>10</v>
      </c>
      <c r="E279" s="103" t="str">
        <f>DEC2HEX(((_xlfn.BITAND(DEC2BIN(D279/16), 1))*2^(16+12)),8)</f>
        <v>00000000</v>
      </c>
      <c r="F279" s="851" t="s">
        <v>732</v>
      </c>
      <c r="G279" s="837"/>
      <c r="H279" s="837"/>
      <c r="I279" s="840"/>
    </row>
    <row r="280" spans="2:9" s="8" customFormat="1" ht="43.5" customHeight="1">
      <c r="B280" s="284" t="s">
        <v>356</v>
      </c>
      <c r="C280" s="364" t="s">
        <v>0</v>
      </c>
      <c r="D280" s="718"/>
      <c r="E280" s="103" t="str">
        <f>DEC2HEX(((_xlfn.BITAND(DEC2BIN(D279/8), 1))*2^(16+6)),8)</f>
        <v>00400000</v>
      </c>
      <c r="F280" s="852"/>
      <c r="G280" s="837"/>
      <c r="H280" s="837"/>
      <c r="I280" s="840"/>
    </row>
    <row r="281" spans="2:9" s="8" customFormat="1" ht="42" customHeight="1">
      <c r="B281" s="284" t="s">
        <v>357</v>
      </c>
      <c r="C281" s="162" t="s">
        <v>0</v>
      </c>
      <c r="D281" s="718"/>
      <c r="E281" s="103" t="str">
        <f>DEC2HEX(((_xlfn.BITAND(DEC2BIN(D279/4), 1))*2^(16+5)),8)</f>
        <v>00000000</v>
      </c>
      <c r="F281" s="852"/>
      <c r="G281" s="837"/>
      <c r="H281" s="837"/>
      <c r="I281" s="840"/>
    </row>
    <row r="282" spans="2:9" s="8" customFormat="1" ht="37.5" customHeight="1">
      <c r="B282" s="284" t="s">
        <v>358</v>
      </c>
      <c r="C282" s="162" t="s">
        <v>0</v>
      </c>
      <c r="D282" s="718"/>
      <c r="E282" s="103" t="str">
        <f>DEC2HEX(((_xlfn.BITAND(DEC2BIN(D279/2), 1))*2^(16+4)),8)</f>
        <v>00100000</v>
      </c>
      <c r="F282" s="852"/>
      <c r="G282" s="837"/>
      <c r="H282" s="837"/>
      <c r="I282" s="840"/>
    </row>
    <row r="283" spans="2:9" s="8" customFormat="1" ht="35.25" customHeight="1">
      <c r="B283" s="284" t="s">
        <v>359</v>
      </c>
      <c r="C283" s="162" t="s">
        <v>0</v>
      </c>
      <c r="D283" s="719"/>
      <c r="E283" s="103" t="str">
        <f>DEC2HEX(((_xlfn.BITAND(DEC2BIN(D279), 1))*2^(16+2)),8)</f>
        <v>00000000</v>
      </c>
      <c r="F283" s="853"/>
      <c r="G283" s="837"/>
      <c r="H283" s="837"/>
      <c r="I283" s="840"/>
    </row>
    <row r="284" spans="2:9" s="8" customFormat="1" ht="51">
      <c r="B284" s="284" t="s">
        <v>360</v>
      </c>
      <c r="C284" s="162" t="s">
        <v>0</v>
      </c>
      <c r="D284" s="257">
        <v>0</v>
      </c>
      <c r="E284" s="103" t="str">
        <f>DEC2HEX(((D284)*2^(16+3)),8)</f>
        <v>00000000</v>
      </c>
      <c r="F284" s="361" t="s">
        <v>733</v>
      </c>
      <c r="G284" s="837"/>
      <c r="H284" s="837"/>
      <c r="I284" s="840"/>
    </row>
    <row r="285" spans="2:9" s="8" customFormat="1" ht="77.25" thickBot="1">
      <c r="B285" s="285" t="s">
        <v>390</v>
      </c>
      <c r="C285" s="163" t="s">
        <v>0</v>
      </c>
      <c r="D285" s="246">
        <v>0</v>
      </c>
      <c r="E285" s="159" t="str">
        <f>DEC2HEX(((D285)*2^(16+0)),8)</f>
        <v>00000000</v>
      </c>
      <c r="F285" s="362" t="s">
        <v>734</v>
      </c>
      <c r="G285" s="837"/>
      <c r="H285" s="837"/>
      <c r="I285" s="840"/>
    </row>
    <row r="286" spans="2:9" s="8" customFormat="1" ht="38.25">
      <c r="B286" s="286" t="s">
        <v>397</v>
      </c>
      <c r="C286" s="276" t="s">
        <v>0</v>
      </c>
      <c r="D286" s="277">
        <v>0</v>
      </c>
      <c r="E286" s="158" t="str">
        <f>DEC2HEX(((D286)*2^12),8)</f>
        <v>00000000</v>
      </c>
      <c r="F286" s="278" t="s">
        <v>735</v>
      </c>
      <c r="G286" s="837"/>
      <c r="H286" s="837"/>
      <c r="I286" s="840"/>
    </row>
    <row r="287" spans="2:9" s="8" customFormat="1" ht="51">
      <c r="B287" s="286" t="s">
        <v>396</v>
      </c>
      <c r="C287" s="279" t="s">
        <v>0</v>
      </c>
      <c r="D287" s="280">
        <v>0</v>
      </c>
      <c r="E287" s="158" t="str">
        <f>DEC2HEX(((D287)*2^11),8)</f>
        <v>00000000</v>
      </c>
      <c r="F287" s="281" t="s">
        <v>736</v>
      </c>
      <c r="G287" s="837"/>
      <c r="H287" s="837"/>
      <c r="I287" s="840"/>
    </row>
    <row r="288" spans="2:9" s="8" customFormat="1" ht="114.75">
      <c r="B288" s="286" t="s">
        <v>395</v>
      </c>
      <c r="C288" s="162" t="s">
        <v>0</v>
      </c>
      <c r="D288" s="118">
        <f>IF(G19=60,1,IF(G19=120,2,IF(G19=40,3,IF(G19=240,4,IF(G19=48,5,IF(G19=80,6,IF(G19=34,7,0)))))))</f>
        <v>5</v>
      </c>
      <c r="E288" s="158" t="str">
        <f>DEC2HEX(((D288)*2^8),8)</f>
        <v>00000500</v>
      </c>
      <c r="F288" s="258" t="s">
        <v>737</v>
      </c>
      <c r="G288" s="837"/>
      <c r="H288" s="837"/>
      <c r="I288" s="840"/>
    </row>
    <row r="289" spans="1:10" s="8" customFormat="1" ht="38.25">
      <c r="B289" s="287" t="s">
        <v>394</v>
      </c>
      <c r="C289" s="164" t="s">
        <v>0</v>
      </c>
      <c r="D289" s="160">
        <v>0</v>
      </c>
      <c r="E289" s="158" t="str">
        <f>DEC2HEX(((D289)*2^7),8)</f>
        <v>00000000</v>
      </c>
      <c r="F289" s="260" t="s">
        <v>738</v>
      </c>
      <c r="G289" s="837"/>
      <c r="H289" s="837"/>
      <c r="I289" s="840"/>
    </row>
    <row r="290" spans="1:10" s="8" customFormat="1" ht="63.75">
      <c r="B290" s="286" t="s">
        <v>393</v>
      </c>
      <c r="C290" s="162" t="s">
        <v>0</v>
      </c>
      <c r="D290" s="161">
        <v>0</v>
      </c>
      <c r="E290" s="103" t="str">
        <f>DEC2HEX(((D290)*2^3),8)</f>
        <v>00000000</v>
      </c>
      <c r="F290" s="259" t="s">
        <v>739</v>
      </c>
      <c r="G290" s="837"/>
      <c r="H290" s="837"/>
      <c r="I290" s="840"/>
    </row>
    <row r="291" spans="1:10" s="8" customFormat="1" ht="76.5">
      <c r="B291" s="286" t="s">
        <v>392</v>
      </c>
      <c r="C291" s="162" t="s">
        <v>0</v>
      </c>
      <c r="D291" s="118">
        <f>IF(G21=34,0,IF(G21=48,1,2))</f>
        <v>0</v>
      </c>
      <c r="E291" s="103" t="str">
        <f>DEC2HEX(((D291)*2^1),8)</f>
        <v>00000000</v>
      </c>
      <c r="F291" s="259" t="s">
        <v>740</v>
      </c>
      <c r="G291" s="837"/>
      <c r="H291" s="837"/>
      <c r="I291" s="840"/>
    </row>
    <row r="292" spans="1:10" s="8" customFormat="1" ht="39" thickBot="1">
      <c r="B292" s="288" t="s">
        <v>391</v>
      </c>
      <c r="C292" s="289" t="s">
        <v>0</v>
      </c>
      <c r="D292" s="290">
        <v>1</v>
      </c>
      <c r="E292" s="159" t="str">
        <f>DEC2HEX(((D292)*2^0),8)</f>
        <v>00000001</v>
      </c>
      <c r="F292" s="291" t="s">
        <v>741</v>
      </c>
      <c r="G292" s="838"/>
      <c r="H292" s="838"/>
      <c r="I292" s="841"/>
    </row>
    <row r="293" spans="1:10" s="8" customFormat="1" ht="9.75" customHeight="1" thickBot="1">
      <c r="A293" s="12"/>
      <c r="B293" s="174"/>
      <c r="C293" s="175"/>
      <c r="D293" s="176"/>
      <c r="E293" s="177"/>
      <c r="F293" s="174"/>
      <c r="G293" s="178"/>
      <c r="H293" s="178"/>
      <c r="I293" s="178"/>
      <c r="J293" s="12"/>
    </row>
    <row r="294" spans="1:10" s="8" customFormat="1" ht="39" thickBot="1">
      <c r="B294" s="2" t="s">
        <v>400</v>
      </c>
      <c r="C294" s="2" t="s">
        <v>5</v>
      </c>
      <c r="D294" s="2" t="s">
        <v>7</v>
      </c>
      <c r="E294" s="2" t="s">
        <v>6</v>
      </c>
      <c r="F294" s="4" t="s">
        <v>1</v>
      </c>
      <c r="G294" s="46" t="s">
        <v>3</v>
      </c>
      <c r="H294" s="5" t="s">
        <v>219</v>
      </c>
      <c r="I294" s="5" t="s">
        <v>4</v>
      </c>
    </row>
    <row r="295" spans="1:10" s="8" customFormat="1" ht="38.25">
      <c r="B295" s="165" t="s">
        <v>548</v>
      </c>
      <c r="C295" s="153" t="s">
        <v>0</v>
      </c>
      <c r="D295" s="318">
        <f>D155</f>
        <v>0</v>
      </c>
      <c r="E295" s="244" t="str">
        <f>DEC2HEX(((D295)*2^(16+12)),8)</f>
        <v>00000000</v>
      </c>
      <c r="F295" s="237" t="s">
        <v>549</v>
      </c>
      <c r="G295" s="733" t="s">
        <v>40</v>
      </c>
      <c r="H295" s="658" t="str">
        <f>"0x"&amp;DEC2HEX((HEX2DEC(C38)+224), 8)</f>
        <v>0x3D4000E0</v>
      </c>
      <c r="I295" s="711" t="str">
        <f xml:space="preserve"> "0x"&amp;DEC2HEX((HEX2DEC(E295)+HEX2DEC(E296)+HEX2DEC(E297)+HEX2DEC(E298)+HEX2DEC(E299)+HEX2DEC(E300)+HEX2DEC(E301)+HEX2DEC(E302)+HEX2DEC(E303)+HEX2DEC(E304)+HEX2DEC(E305)+HEX2DEC(E306) ), 8)</f>
        <v>0x00280400</v>
      </c>
    </row>
    <row r="296" spans="1:10" s="8" customFormat="1" ht="127.5">
      <c r="B296" s="102" t="s">
        <v>550</v>
      </c>
      <c r="C296" s="99" t="s">
        <v>0</v>
      </c>
      <c r="D296" s="168">
        <v>0</v>
      </c>
      <c r="E296" s="245" t="str">
        <f>DEC2HEX(((D296)*2^(16+9)),8)</f>
        <v>00000000</v>
      </c>
      <c r="F296" s="309" t="s">
        <v>551</v>
      </c>
      <c r="G296" s="734"/>
      <c r="H296" s="693"/>
      <c r="I296" s="694"/>
    </row>
    <row r="297" spans="1:10" s="8" customFormat="1" ht="102">
      <c r="B297" s="166" t="s">
        <v>552</v>
      </c>
      <c r="C297" s="99" t="s">
        <v>0</v>
      </c>
      <c r="D297" s="168">
        <v>0</v>
      </c>
      <c r="E297" s="245" t="str">
        <f>DEC2HEX(((D297)*2^(16+6)),8)</f>
        <v>00000000</v>
      </c>
      <c r="F297" s="400" t="s">
        <v>553</v>
      </c>
      <c r="G297" s="734"/>
      <c r="H297" s="693"/>
      <c r="I297" s="694"/>
    </row>
    <row r="298" spans="1:10" s="8" customFormat="1" ht="255.75" thickBot="1">
      <c r="B298" s="82" t="s">
        <v>554</v>
      </c>
      <c r="C298" s="100" t="s">
        <v>0</v>
      </c>
      <c r="D298" s="406">
        <f>IF(C200&lt;14, (C200-9), ((C200-14)/2 + 4 ) )</f>
        <v>5</v>
      </c>
      <c r="E298" s="101" t="str">
        <f>DEC2HEX(((D298)*2^(16+3)),8)</f>
        <v>00280000</v>
      </c>
      <c r="F298" s="407" t="s">
        <v>555</v>
      </c>
      <c r="G298" s="734"/>
      <c r="H298" s="693"/>
      <c r="I298" s="694"/>
    </row>
    <row r="299" spans="1:10" s="8" customFormat="1" ht="63.75">
      <c r="B299" s="311" t="s">
        <v>556</v>
      </c>
      <c r="C299" s="155" t="s">
        <v>0</v>
      </c>
      <c r="D299" s="167">
        <v>0</v>
      </c>
      <c r="E299" s="83" t="str">
        <f>DEC2HEX(((D299)*2^11),8)</f>
        <v>00000000</v>
      </c>
      <c r="F299" s="312" t="s">
        <v>557</v>
      </c>
      <c r="G299" s="734"/>
      <c r="H299" s="693"/>
      <c r="I299" s="694"/>
    </row>
    <row r="300" spans="1:10" s="8" customFormat="1" ht="63.75">
      <c r="B300" s="102" t="s">
        <v>558</v>
      </c>
      <c r="C300" s="99" t="s">
        <v>0</v>
      </c>
      <c r="D300" s="318">
        <f>IF(C32&lt;801, 0, IF(C32&lt;1334,1,2))</f>
        <v>2</v>
      </c>
      <c r="E300" s="245" t="str">
        <f>DEC2HEX(((D300)*2^9),8)</f>
        <v>00000400</v>
      </c>
      <c r="F300" s="309" t="s">
        <v>559</v>
      </c>
      <c r="G300" s="734"/>
      <c r="H300" s="693"/>
      <c r="I300" s="694"/>
    </row>
    <row r="301" spans="1:10" s="8" customFormat="1" ht="114.75">
      <c r="B301" s="102" t="s">
        <v>560</v>
      </c>
      <c r="C301" s="99" t="s">
        <v>0</v>
      </c>
      <c r="D301" s="318">
        <f>D133</f>
        <v>0</v>
      </c>
      <c r="E301" s="245" t="str">
        <f>DEC2HEX(((D301)*2^6),8)</f>
        <v>00000000</v>
      </c>
      <c r="F301" s="309" t="s">
        <v>561</v>
      </c>
      <c r="G301" s="734"/>
      <c r="H301" s="693"/>
      <c r="I301" s="694"/>
    </row>
    <row r="302" spans="1:10" s="8" customFormat="1" ht="38.25">
      <c r="B302" s="102" t="s">
        <v>562</v>
      </c>
      <c r="C302" s="99" t="s">
        <v>0</v>
      </c>
      <c r="D302" s="168">
        <v>0</v>
      </c>
      <c r="E302" s="245" t="str">
        <f>DEC2HEX(((D302)*2^5),8)</f>
        <v>00000000</v>
      </c>
      <c r="F302" s="309" t="s">
        <v>563</v>
      </c>
      <c r="G302" s="734"/>
      <c r="H302" s="693"/>
      <c r="I302" s="694"/>
    </row>
    <row r="303" spans="1:10" s="8" customFormat="1" ht="38.25">
      <c r="B303" s="102" t="s">
        <v>564</v>
      </c>
      <c r="C303" s="99" t="s">
        <v>0</v>
      </c>
      <c r="D303" s="168">
        <v>0</v>
      </c>
      <c r="E303" s="245" t="str">
        <f>DEC2HEX(((D303)*2^4),8)</f>
        <v>00000000</v>
      </c>
      <c r="F303" s="309" t="s">
        <v>565</v>
      </c>
      <c r="G303" s="734"/>
      <c r="H303" s="693"/>
      <c r="I303" s="694"/>
    </row>
    <row r="304" spans="1:10" s="8" customFormat="1" ht="38.25">
      <c r="B304" s="102" t="s">
        <v>566</v>
      </c>
      <c r="C304" s="99" t="s">
        <v>0</v>
      </c>
      <c r="D304" s="168">
        <v>0</v>
      </c>
      <c r="E304" s="245" t="str">
        <f>DEC2HEX(((D304)*2^3),8)</f>
        <v>00000000</v>
      </c>
      <c r="F304" s="309" t="s">
        <v>567</v>
      </c>
      <c r="G304" s="734"/>
      <c r="H304" s="693"/>
      <c r="I304" s="694"/>
    </row>
    <row r="305" spans="2:10" s="8" customFormat="1" ht="38.25">
      <c r="B305" s="102" t="s">
        <v>568</v>
      </c>
      <c r="C305" s="99" t="s">
        <v>0</v>
      </c>
      <c r="D305" s="168">
        <v>0</v>
      </c>
      <c r="E305" s="245" t="str">
        <f>DEC2HEX(((D305)*2^2),8)</f>
        <v>00000000</v>
      </c>
      <c r="F305" s="309" t="s">
        <v>569</v>
      </c>
      <c r="G305" s="734"/>
      <c r="H305" s="693"/>
      <c r="I305" s="694"/>
    </row>
    <row r="306" spans="2:10" s="8" customFormat="1" ht="64.5" thickBot="1">
      <c r="B306" s="82" t="s">
        <v>570</v>
      </c>
      <c r="C306" s="100" t="s">
        <v>0</v>
      </c>
      <c r="D306" s="169">
        <v>0</v>
      </c>
      <c r="E306" s="101" t="str">
        <f>DEC2HEX(((D306)*2^0),8)</f>
        <v>00000000</v>
      </c>
      <c r="F306" s="310" t="s">
        <v>571</v>
      </c>
      <c r="G306" s="735"/>
      <c r="H306" s="659"/>
      <c r="I306" s="661"/>
    </row>
    <row r="307" spans="2:10" s="12" customFormat="1" ht="13.5" thickBot="1">
      <c r="B307" s="313"/>
      <c r="C307" s="241"/>
      <c r="D307" s="314"/>
      <c r="E307" s="242"/>
      <c r="F307" s="315"/>
      <c r="G307" s="316"/>
      <c r="H307" s="78"/>
      <c r="I307" s="78"/>
    </row>
    <row r="308" spans="2:10" ht="39" thickBot="1">
      <c r="B308" s="14" t="s">
        <v>75</v>
      </c>
      <c r="C308" s="16" t="s">
        <v>89</v>
      </c>
      <c r="D308" s="91" t="s">
        <v>88</v>
      </c>
      <c r="E308" s="14" t="s">
        <v>6</v>
      </c>
      <c r="F308" s="15" t="s">
        <v>1</v>
      </c>
      <c r="G308" s="35" t="s">
        <v>3</v>
      </c>
      <c r="H308" s="16" t="s">
        <v>220</v>
      </c>
      <c r="I308" s="16" t="s">
        <v>4</v>
      </c>
      <c r="J308" s="18"/>
    </row>
    <row r="309" spans="2:10" s="8" customFormat="1" ht="128.25" thickBot="1">
      <c r="B309" s="341" t="s">
        <v>572</v>
      </c>
      <c r="C309" s="317">
        <v>1024</v>
      </c>
      <c r="D309" s="299">
        <f>ROUNDUP(C309/32/2, 0)+1</f>
        <v>17</v>
      </c>
      <c r="E309" s="321" t="str">
        <f>DEC2HEX(D309*2^16,8)</f>
        <v>00110000</v>
      </c>
      <c r="F309" s="319" t="s">
        <v>573</v>
      </c>
      <c r="G309" s="323" t="s">
        <v>574</v>
      </c>
      <c r="H309" s="320" t="str">
        <f>"0x"&amp;DEC2HEX((HEX2DEC(C38)+228), 8)</f>
        <v>0x3D4000E4</v>
      </c>
      <c r="I309" s="322" t="str">
        <f>"0x"&amp;DEC2HEX(HEX2DEC(E309), 8)</f>
        <v>0x00110000</v>
      </c>
    </row>
    <row r="310" spans="2:10" s="8" customFormat="1" ht="13.5" thickBot="1">
      <c r="E310" s="13"/>
      <c r="G310" s="13"/>
      <c r="H310" s="13"/>
      <c r="I310" s="13"/>
    </row>
    <row r="311" spans="2:10" s="8" customFormat="1" ht="39" thickBot="1">
      <c r="B311" s="327" t="s">
        <v>575</v>
      </c>
      <c r="C311" s="327" t="s">
        <v>5</v>
      </c>
      <c r="D311" s="327" t="s">
        <v>7</v>
      </c>
      <c r="E311" s="327" t="s">
        <v>6</v>
      </c>
      <c r="F311" s="328" t="s">
        <v>1</v>
      </c>
      <c r="G311" s="325" t="s">
        <v>3</v>
      </c>
      <c r="H311" s="326" t="s">
        <v>219</v>
      </c>
      <c r="I311" s="326" t="s">
        <v>4</v>
      </c>
    </row>
    <row r="312" spans="2:10" s="8" customFormat="1" ht="38.25">
      <c r="B312" s="329" t="s">
        <v>576</v>
      </c>
      <c r="C312" s="153" t="s">
        <v>0</v>
      </c>
      <c r="D312" s="330">
        <v>0</v>
      </c>
      <c r="E312" s="244" t="str">
        <f>DEC2HEX(((D312)*2^(16+13)),8)</f>
        <v>00000000</v>
      </c>
      <c r="F312" s="333" t="s">
        <v>595</v>
      </c>
      <c r="G312" s="808" t="s">
        <v>264</v>
      </c>
      <c r="H312" s="811" t="str">
        <f>"0x"&amp;DEC2HEX((HEX2DEC(C38)+232), 8)</f>
        <v>0x3D4000E8</v>
      </c>
      <c r="I312" s="814" t="str">
        <f>"0x"&amp;DEC2HEX((HEX2DEC(E312)+HEX2DEC(E313)+HEX2DEC(E314)+HEX2DEC(E315)+HEX2DEC(E316)+HEX2DEC(E317)+HEX2DEC(E318)+HEX2DEC(E319)++HEX2DEC(E320)+HEX2DEC(E321)+HEX2DEC(E322)+HEX2DEC(E323)+HEX2DEC(E324)+HEX2DEC(E325)+HEX2DEC(E326)+HEX2DEC(E327)+HEX2DEC(E328)+HEX2DEC(E329)+HEX2DEC(E330)+HEX2DEC(E331) ), 8)</f>
        <v>0x02000600</v>
      </c>
    </row>
    <row r="313" spans="2:10" s="8" customFormat="1" ht="38.25">
      <c r="B313" s="331" t="s">
        <v>577</v>
      </c>
      <c r="C313" s="99" t="s">
        <v>0</v>
      </c>
      <c r="D313" s="298">
        <f>D231</f>
        <v>0</v>
      </c>
      <c r="E313" s="245" t="str">
        <f>DEC2HEX(((D313)*2^(16+12)),8)</f>
        <v>00000000</v>
      </c>
      <c r="F313" s="334" t="s">
        <v>685</v>
      </c>
      <c r="G313" s="809"/>
      <c r="H313" s="812"/>
      <c r="I313" s="815"/>
    </row>
    <row r="314" spans="2:10" s="8" customFormat="1" ht="38.25">
      <c r="B314" s="331" t="s">
        <v>578</v>
      </c>
      <c r="C314" s="99" t="s">
        <v>0</v>
      </c>
      <c r="D314" s="324">
        <v>0</v>
      </c>
      <c r="E314" s="245" t="str">
        <f>DEC2HEX(((D314)*2^(16+11)),8)</f>
        <v>00000000</v>
      </c>
      <c r="F314" s="334" t="s">
        <v>684</v>
      </c>
      <c r="G314" s="809"/>
      <c r="H314" s="812"/>
      <c r="I314" s="815"/>
    </row>
    <row r="315" spans="2:10" s="8" customFormat="1" ht="38.25">
      <c r="B315" s="331" t="s">
        <v>579</v>
      </c>
      <c r="C315" s="99" t="s">
        <v>0</v>
      </c>
      <c r="D315" s="324">
        <v>0</v>
      </c>
      <c r="E315" s="245" t="str">
        <f>DEC2HEX(((D315)*2^(16+10)),8)</f>
        <v>00000000</v>
      </c>
      <c r="F315" s="334" t="s">
        <v>594</v>
      </c>
      <c r="G315" s="809"/>
      <c r="H315" s="812"/>
      <c r="I315" s="815"/>
    </row>
    <row r="316" spans="2:10" s="8" customFormat="1" ht="38.25">
      <c r="B316" s="331" t="s">
        <v>580</v>
      </c>
      <c r="C316" s="99" t="s">
        <v>0</v>
      </c>
      <c r="D316" s="324">
        <v>1</v>
      </c>
      <c r="E316" s="245" t="str">
        <f>DEC2HEX(((D316)*2^(16+9)),8)</f>
        <v>02000000</v>
      </c>
      <c r="F316" s="334" t="s">
        <v>593</v>
      </c>
      <c r="G316" s="809"/>
      <c r="H316" s="812"/>
      <c r="I316" s="815"/>
    </row>
    <row r="317" spans="2:10" s="8" customFormat="1" ht="114.75">
      <c r="B317" s="331" t="s">
        <v>581</v>
      </c>
      <c r="C317" s="99" t="s">
        <v>0</v>
      </c>
      <c r="D317" s="324">
        <v>0</v>
      </c>
      <c r="E317" s="245" t="str">
        <f>DEC2HEX(((D317)*2^(16+6)),8)</f>
        <v>00000000</v>
      </c>
      <c r="F317" s="334" t="s">
        <v>592</v>
      </c>
      <c r="G317" s="809"/>
      <c r="H317" s="812"/>
      <c r="I317" s="815"/>
    </row>
    <row r="318" spans="2:10" s="8" customFormat="1" ht="38.25">
      <c r="B318" s="331" t="s">
        <v>582</v>
      </c>
      <c r="C318" s="99" t="s">
        <v>0</v>
      </c>
      <c r="D318" s="324">
        <v>0</v>
      </c>
      <c r="E318" s="245" t="str">
        <f>DEC2HEX(((D318)*2^(16+5)),8)</f>
        <v>00000000</v>
      </c>
      <c r="F318" s="334" t="s">
        <v>591</v>
      </c>
      <c r="G318" s="809"/>
      <c r="H318" s="812"/>
      <c r="I318" s="815"/>
    </row>
    <row r="319" spans="2:10" s="8" customFormat="1" ht="38.25">
      <c r="B319" s="331" t="s">
        <v>583</v>
      </c>
      <c r="C319" s="99" t="s">
        <v>0</v>
      </c>
      <c r="D319" s="324">
        <v>0</v>
      </c>
      <c r="E319" s="245" t="str">
        <f>DEC2HEX(((D319)*2^(16+4)),8)</f>
        <v>00000000</v>
      </c>
      <c r="F319" s="334" t="s">
        <v>590</v>
      </c>
      <c r="G319" s="809"/>
      <c r="H319" s="812"/>
      <c r="I319" s="815"/>
    </row>
    <row r="320" spans="2:10" s="8" customFormat="1" ht="38.25">
      <c r="B320" s="331" t="s">
        <v>584</v>
      </c>
      <c r="C320" s="99" t="s">
        <v>0</v>
      </c>
      <c r="D320" s="324">
        <v>0</v>
      </c>
      <c r="E320" s="245" t="str">
        <f>DEC2HEX(((D320)*2^(16+3)),8)</f>
        <v>00000000</v>
      </c>
      <c r="F320" s="334" t="s">
        <v>589</v>
      </c>
      <c r="G320" s="809"/>
      <c r="H320" s="812"/>
      <c r="I320" s="815"/>
    </row>
    <row r="321" spans="2:9" s="8" customFormat="1" ht="38.25">
      <c r="B321" s="331" t="s">
        <v>585</v>
      </c>
      <c r="C321" s="99" t="s">
        <v>0</v>
      </c>
      <c r="D321" s="324">
        <v>0</v>
      </c>
      <c r="E321" s="245" t="str">
        <f>DEC2HEX(((D321)*2^(16+2)),8)</f>
        <v>00000000</v>
      </c>
      <c r="F321" s="334" t="s">
        <v>588</v>
      </c>
      <c r="G321" s="809"/>
      <c r="H321" s="812"/>
      <c r="I321" s="815"/>
    </row>
    <row r="322" spans="2:9" s="8" customFormat="1" ht="39" thickBot="1">
      <c r="B322" s="332" t="s">
        <v>586</v>
      </c>
      <c r="C322" s="100" t="s">
        <v>0</v>
      </c>
      <c r="D322" s="335">
        <v>0</v>
      </c>
      <c r="E322" s="101" t="str">
        <f>DEC2HEX(((D322)*2^(16+1)),8)</f>
        <v>00000000</v>
      </c>
      <c r="F322" s="336" t="s">
        <v>587</v>
      </c>
      <c r="G322" s="809"/>
      <c r="H322" s="812"/>
      <c r="I322" s="815"/>
    </row>
    <row r="323" spans="2:9" s="8" customFormat="1" ht="38.25">
      <c r="B323" s="329" t="s">
        <v>596</v>
      </c>
      <c r="C323" s="153" t="s">
        <v>0</v>
      </c>
      <c r="D323" s="298">
        <f>D395</f>
        <v>0</v>
      </c>
      <c r="E323" s="244" t="str">
        <f>DEC2HEX(((D323)*2^(12)),8)</f>
        <v>00000000</v>
      </c>
      <c r="F323" s="337" t="s">
        <v>612</v>
      </c>
      <c r="G323" s="809"/>
      <c r="H323" s="812"/>
      <c r="I323" s="815"/>
    </row>
    <row r="324" spans="2:9" s="8" customFormat="1" ht="38.25">
      <c r="B324" s="331" t="s">
        <v>597</v>
      </c>
      <c r="C324" s="99" t="s">
        <v>0</v>
      </c>
      <c r="D324" s="298">
        <f>D396</f>
        <v>0</v>
      </c>
      <c r="E324" s="245" t="str">
        <f>DEC2HEX(((D324)*2^(11)),8)</f>
        <v>00000000</v>
      </c>
      <c r="F324" s="334" t="s">
        <v>611</v>
      </c>
      <c r="G324" s="809"/>
      <c r="H324" s="812"/>
      <c r="I324" s="815"/>
    </row>
    <row r="325" spans="2:9" s="8" customFormat="1" ht="38.25">
      <c r="B325" s="331" t="s">
        <v>598</v>
      </c>
      <c r="C325" s="99" t="s">
        <v>0</v>
      </c>
      <c r="D325" s="298">
        <f>D397</f>
        <v>1</v>
      </c>
      <c r="E325" s="245" t="str">
        <f>DEC2HEX(((D325)*2^(10)),8)</f>
        <v>00000400</v>
      </c>
      <c r="F325" s="334" t="s">
        <v>610</v>
      </c>
      <c r="G325" s="809"/>
      <c r="H325" s="812"/>
      <c r="I325" s="815"/>
    </row>
    <row r="326" spans="2:9" s="8" customFormat="1" ht="38.25">
      <c r="B326" s="331" t="s">
        <v>599</v>
      </c>
      <c r="C326" s="99" t="s">
        <v>0</v>
      </c>
      <c r="D326" s="297">
        <v>1</v>
      </c>
      <c r="E326" s="245" t="str">
        <f>DEC2HEX(((D326)*2^(9)),8)</f>
        <v>00000200</v>
      </c>
      <c r="F326" s="334" t="s">
        <v>609</v>
      </c>
      <c r="G326" s="809"/>
      <c r="H326" s="812"/>
      <c r="I326" s="815"/>
    </row>
    <row r="327" spans="2:9" s="8" customFormat="1" ht="114.75">
      <c r="B327" s="331" t="s">
        <v>600</v>
      </c>
      <c r="C327" s="99" t="s">
        <v>0</v>
      </c>
      <c r="D327" s="297">
        <v>0</v>
      </c>
      <c r="E327" s="245" t="str">
        <f>DEC2HEX(((D327)*2^(6)),8)</f>
        <v>00000000</v>
      </c>
      <c r="F327" s="334" t="s">
        <v>608</v>
      </c>
      <c r="G327" s="809"/>
      <c r="H327" s="812"/>
      <c r="I327" s="815"/>
    </row>
    <row r="328" spans="2:9" s="8" customFormat="1" ht="38.25">
      <c r="B328" s="331" t="s">
        <v>601</v>
      </c>
      <c r="C328" s="99" t="s">
        <v>0</v>
      </c>
      <c r="D328" s="297">
        <v>0</v>
      </c>
      <c r="E328" s="245" t="str">
        <f>DEC2HEX(((D328)*2^(5)),8)</f>
        <v>00000000</v>
      </c>
      <c r="F328" s="334" t="s">
        <v>607</v>
      </c>
      <c r="G328" s="809"/>
      <c r="H328" s="812"/>
      <c r="I328" s="815"/>
    </row>
    <row r="329" spans="2:9" s="8" customFormat="1" ht="38.25">
      <c r="B329" s="331" t="s">
        <v>602</v>
      </c>
      <c r="C329" s="99" t="s">
        <v>0</v>
      </c>
      <c r="D329" s="297">
        <v>0</v>
      </c>
      <c r="E329" s="245" t="str">
        <f>DEC2HEX(((D329)*2^(4)),8)</f>
        <v>00000000</v>
      </c>
      <c r="F329" s="334" t="s">
        <v>606</v>
      </c>
      <c r="G329" s="809"/>
      <c r="H329" s="812"/>
      <c r="I329" s="815"/>
    </row>
    <row r="330" spans="2:9" s="8" customFormat="1" ht="38.25">
      <c r="B330" s="331" t="s">
        <v>603</v>
      </c>
      <c r="C330" s="99" t="s">
        <v>0</v>
      </c>
      <c r="D330" s="297">
        <v>0</v>
      </c>
      <c r="E330" s="245" t="str">
        <f>DEC2HEX(((D330)*2^(3)),8)</f>
        <v>00000000</v>
      </c>
      <c r="F330" s="334" t="s">
        <v>605</v>
      </c>
      <c r="G330" s="809"/>
      <c r="H330" s="812"/>
      <c r="I330" s="815"/>
    </row>
    <row r="331" spans="2:9" s="8" customFormat="1" ht="115.5" thickBot="1">
      <c r="B331" s="332" t="s">
        <v>604</v>
      </c>
      <c r="C331" s="100" t="s">
        <v>0</v>
      </c>
      <c r="D331" s="299">
        <f>IF(D156=1,IF(C32&lt;1201,2,3), 0)</f>
        <v>0</v>
      </c>
      <c r="E331" s="101" t="str">
        <f>DEC2HEX(((D331)*2^(0)),8)</f>
        <v>00000000</v>
      </c>
      <c r="F331" s="336" t="s">
        <v>613</v>
      </c>
      <c r="G331" s="810"/>
      <c r="H331" s="813"/>
      <c r="I331" s="816"/>
    </row>
    <row r="332" spans="2:9" s="8" customFormat="1" ht="13.5" thickBot="1">
      <c r="B332" s="240"/>
      <c r="C332" s="241"/>
      <c r="D332" s="214"/>
      <c r="E332" s="242"/>
      <c r="F332" s="243"/>
      <c r="G332" s="214"/>
      <c r="H332" s="214"/>
      <c r="I332" s="214"/>
    </row>
    <row r="333" spans="2:9" s="8" customFormat="1" ht="39" thickBot="1">
      <c r="B333" s="327" t="s">
        <v>614</v>
      </c>
      <c r="C333" s="327" t="s">
        <v>5</v>
      </c>
      <c r="D333" s="327" t="s">
        <v>7</v>
      </c>
      <c r="E333" s="327" t="s">
        <v>6</v>
      </c>
      <c r="F333" s="328" t="s">
        <v>1</v>
      </c>
      <c r="G333" s="325" t="s">
        <v>3</v>
      </c>
      <c r="H333" s="326" t="s">
        <v>219</v>
      </c>
      <c r="I333" s="326" t="s">
        <v>4</v>
      </c>
    </row>
    <row r="334" spans="2:9" s="8" customFormat="1" ht="114.75">
      <c r="B334" s="236" t="s">
        <v>622</v>
      </c>
      <c r="C334" s="153" t="s">
        <v>0</v>
      </c>
      <c r="D334" s="426">
        <f>IF(C32&lt;668, 0, IF(C32&lt;934, 1, IF(C32&lt;1201,2,IF(C32&lt;1334,3,4))))</f>
        <v>4</v>
      </c>
      <c r="E334" s="244" t="str">
        <f>DEC2HEX(((D334)*2^10),8)</f>
        <v>00001000</v>
      </c>
      <c r="F334" s="337" t="s">
        <v>615</v>
      </c>
      <c r="G334" s="679" t="s">
        <v>269</v>
      </c>
      <c r="H334" s="682" t="str">
        <f>"0x"&amp;DEC2HEX((HEX2DEC(C38)+236), 8)</f>
        <v>0x3D4000EC</v>
      </c>
      <c r="I334" s="685" t="str">
        <f>"0x"&amp;DEC2HEX((HEX2DEC(E334)+HEX2DEC(E335)+HEX2DEC(E336)+HEX2DEC(E337)), 8)</f>
        <v>0x00001010</v>
      </c>
    </row>
    <row r="335" spans="2:9" s="8" customFormat="1" ht="38.25">
      <c r="B335" s="238" t="s">
        <v>621</v>
      </c>
      <c r="C335" s="99" t="s">
        <v>0</v>
      </c>
      <c r="D335" s="444">
        <v>0</v>
      </c>
      <c r="E335" s="83" t="str">
        <f>DEC2HEX(((D335)*2^7),8)</f>
        <v>00000000</v>
      </c>
      <c r="F335" s="334" t="s">
        <v>616</v>
      </c>
      <c r="G335" s="680"/>
      <c r="H335" s="683"/>
      <c r="I335" s="686"/>
    </row>
    <row r="336" spans="2:9" s="8" customFormat="1" ht="38.25">
      <c r="B336" s="238" t="s">
        <v>620</v>
      </c>
      <c r="C336" s="99" t="s">
        <v>0</v>
      </c>
      <c r="D336" s="645">
        <v>0</v>
      </c>
      <c r="E336" s="83" t="str">
        <f>DEC2HEX(((D336)*2^6),8)</f>
        <v>00000000</v>
      </c>
      <c r="F336" s="334" t="s">
        <v>617</v>
      </c>
      <c r="G336" s="680"/>
      <c r="H336" s="683"/>
      <c r="I336" s="686"/>
    </row>
    <row r="337" spans="2:13" s="8" customFormat="1" ht="39" thickBot="1">
      <c r="B337" s="239" t="s">
        <v>619</v>
      </c>
      <c r="C337" s="100" t="s">
        <v>0</v>
      </c>
      <c r="D337" s="450">
        <v>16</v>
      </c>
      <c r="E337" s="225" t="str">
        <f>DEC2HEX(((D337)*2^0),8)</f>
        <v>00000010</v>
      </c>
      <c r="F337" s="336" t="s">
        <v>618</v>
      </c>
      <c r="G337" s="681"/>
      <c r="H337" s="684"/>
      <c r="I337" s="687"/>
    </row>
    <row r="338" spans="2:13" s="8" customFormat="1" ht="13.5" thickBot="1">
      <c r="B338" s="240"/>
      <c r="C338" s="241"/>
      <c r="D338" s="188"/>
      <c r="E338" s="242"/>
      <c r="F338" s="243"/>
      <c r="G338" s="214"/>
      <c r="H338" s="214"/>
      <c r="I338" s="214"/>
    </row>
    <row r="339" spans="2:13" s="8" customFormat="1" ht="63.75">
      <c r="B339" s="338" t="s">
        <v>624</v>
      </c>
      <c r="C339" s="153" t="s">
        <v>0</v>
      </c>
      <c r="D339" s="330">
        <v>0</v>
      </c>
      <c r="E339" s="244" t="str">
        <f>DEC2HEX(((D339)*2^6),8)</f>
        <v>00000000</v>
      </c>
      <c r="F339" s="342" t="s">
        <v>631</v>
      </c>
      <c r="G339" s="670" t="s">
        <v>623</v>
      </c>
      <c r="H339" s="682" t="str">
        <f>"0x"&amp;DEC2HEX((HEX2DEC(C38)+240), 8)</f>
        <v>0x3D4000F0</v>
      </c>
      <c r="I339" s="685" t="str">
        <f>"0x"&amp;DEC2HEX((HEX2DEC(E339)+HEX2DEC(E340)+HEX2DEC(E341)+HEX2DEC(E342)+HEX2DEC(E343)+HEX2DEC(E344)+HEX2DEC(E345)), 8)</f>
        <v>0x00000020</v>
      </c>
    </row>
    <row r="340" spans="2:13" s="8" customFormat="1" ht="76.5">
      <c r="B340" s="339" t="s">
        <v>625</v>
      </c>
      <c r="C340" s="99" t="s">
        <v>0</v>
      </c>
      <c r="D340" s="485">
        <v>1</v>
      </c>
      <c r="E340" s="83" t="str">
        <f>DEC2HEX(((D340)*2^5),8)</f>
        <v>00000020</v>
      </c>
      <c r="F340" s="343" t="s">
        <v>632</v>
      </c>
      <c r="G340" s="683"/>
      <c r="H340" s="683"/>
      <c r="I340" s="686"/>
    </row>
    <row r="341" spans="2:13" s="8" customFormat="1" ht="165.75">
      <c r="B341" s="339" t="s">
        <v>626</v>
      </c>
      <c r="C341" s="99" t="s">
        <v>0</v>
      </c>
      <c r="D341" s="468">
        <v>0</v>
      </c>
      <c r="E341" s="83" t="str">
        <f>DEC2HEX(((D341)*2^4),8)</f>
        <v>00000000</v>
      </c>
      <c r="F341" s="343" t="s">
        <v>633</v>
      </c>
      <c r="G341" s="683"/>
      <c r="H341" s="683"/>
      <c r="I341" s="686"/>
    </row>
    <row r="342" spans="2:13" s="8" customFormat="1" ht="140.25">
      <c r="B342" s="339" t="s">
        <v>627</v>
      </c>
      <c r="C342" s="99" t="s">
        <v>0</v>
      </c>
      <c r="D342" s="324">
        <v>0</v>
      </c>
      <c r="E342" s="83" t="str">
        <f>DEC2HEX(((D342)*2^3),8)</f>
        <v>00000000</v>
      </c>
      <c r="F342" s="343" t="s">
        <v>634</v>
      </c>
      <c r="G342" s="683"/>
      <c r="H342" s="683"/>
      <c r="I342" s="686"/>
    </row>
    <row r="343" spans="2:13" s="8" customFormat="1" ht="216.75">
      <c r="B343" s="339" t="s">
        <v>628</v>
      </c>
      <c r="C343" s="99" t="s">
        <v>0</v>
      </c>
      <c r="D343" s="324">
        <v>0</v>
      </c>
      <c r="E343" s="83" t="str">
        <f>DEC2HEX(((D343)*2^2),8)</f>
        <v>00000000</v>
      </c>
      <c r="F343" s="343" t="s">
        <v>635</v>
      </c>
      <c r="G343" s="683"/>
      <c r="H343" s="683"/>
      <c r="I343" s="686"/>
    </row>
    <row r="344" spans="2:13" s="8" customFormat="1" ht="306">
      <c r="B344" s="339" t="s">
        <v>629</v>
      </c>
      <c r="C344" s="99" t="s">
        <v>0</v>
      </c>
      <c r="D344" s="318">
        <f>IF(G23="ENABLED", 1, 0)</f>
        <v>0</v>
      </c>
      <c r="E344" s="83" t="str">
        <f>DEC2HEX(((D344)*2^1),8)</f>
        <v>00000000</v>
      </c>
      <c r="F344" s="343" t="s">
        <v>636</v>
      </c>
      <c r="G344" s="683"/>
      <c r="H344" s="683"/>
      <c r="I344" s="686"/>
    </row>
    <row r="345" spans="2:13" s="8" customFormat="1" ht="128.25" thickBot="1">
      <c r="B345" s="340" t="s">
        <v>630</v>
      </c>
      <c r="C345" s="100" t="s">
        <v>0</v>
      </c>
      <c r="D345" s="335">
        <v>0</v>
      </c>
      <c r="E345" s="225" t="str">
        <f>DEC2HEX(((D345)*2^0),8)</f>
        <v>00000000</v>
      </c>
      <c r="F345" s="344" t="s">
        <v>637</v>
      </c>
      <c r="G345" s="684"/>
      <c r="H345" s="684"/>
      <c r="I345" s="687"/>
    </row>
    <row r="346" spans="2:13" ht="13.5" thickBot="1">
      <c r="B346" s="73"/>
      <c r="C346" s="74"/>
      <c r="D346" s="75"/>
      <c r="E346" s="36"/>
      <c r="F346" s="71"/>
      <c r="G346" s="78"/>
      <c r="H346" s="78"/>
      <c r="I346" s="78"/>
      <c r="J346" s="79"/>
    </row>
    <row r="347" spans="2:13" ht="13.5" thickBot="1">
      <c r="B347" s="818" t="s">
        <v>164</v>
      </c>
      <c r="C347" s="819"/>
      <c r="D347" s="819"/>
      <c r="E347" s="819"/>
      <c r="F347" s="819"/>
      <c r="G347" s="819"/>
      <c r="H347" s="819"/>
      <c r="I347" s="820"/>
      <c r="J347" s="79"/>
      <c r="L347" s="104"/>
      <c r="M347" s="104"/>
    </row>
    <row r="348" spans="2:13" s="104" customFormat="1" ht="4.5" customHeight="1" thickBot="1">
      <c r="B348" s="105"/>
      <c r="C348" s="105"/>
      <c r="D348" s="105"/>
      <c r="E348" s="105"/>
      <c r="F348" s="105"/>
      <c r="G348" s="105"/>
      <c r="H348" s="105"/>
      <c r="I348" s="105"/>
      <c r="J348" s="106"/>
      <c r="L348" s="8"/>
      <c r="M348" s="8"/>
    </row>
    <row r="349" spans="2:13" ht="39" thickBot="1">
      <c r="B349" s="14" t="s">
        <v>75</v>
      </c>
      <c r="C349" s="16" t="s">
        <v>89</v>
      </c>
      <c r="D349" s="91" t="s">
        <v>88</v>
      </c>
      <c r="E349" s="14" t="s">
        <v>6</v>
      </c>
      <c r="F349" s="15" t="s">
        <v>1</v>
      </c>
      <c r="G349" s="35" t="s">
        <v>3</v>
      </c>
      <c r="H349" s="16" t="s">
        <v>220</v>
      </c>
      <c r="I349" s="16" t="s">
        <v>4</v>
      </c>
      <c r="J349" s="18"/>
    </row>
    <row r="350" spans="2:13" ht="114.75">
      <c r="B350" s="57" t="s">
        <v>131</v>
      </c>
      <c r="C350" s="64"/>
      <c r="D350" s="56">
        <v>3</v>
      </c>
      <c r="E350" s="306" t="str">
        <f>DEC2HEX(((D350)*2^24),8)</f>
        <v>03000000</v>
      </c>
      <c r="F350" s="33" t="s">
        <v>267</v>
      </c>
      <c r="G350" s="688" t="s">
        <v>50</v>
      </c>
      <c r="H350" s="688" t="str">
        <f>"0x"&amp;DEC2HEX((HEX2DEC(C38)+400), 8)</f>
        <v>0x3D400190</v>
      </c>
      <c r="I350" s="695" t="str">
        <f>"0x"&amp;DEC2HEX((HEX2DEC(E350)+HEX2DEC(E351)+HEX2DEC(E352)+HEX2DEC(E353)+HEX2DEC(E354)+HEX2DEC(E355)), 8)</f>
        <v>0x0391820B</v>
      </c>
      <c r="J350" s="18"/>
    </row>
    <row r="351" spans="2:13" ht="106.5" customHeight="1">
      <c r="B351" s="58" t="s">
        <v>132</v>
      </c>
      <c r="C351" s="60"/>
      <c r="D351" s="119">
        <v>1</v>
      </c>
      <c r="E351" s="307" t="str">
        <f>DEC2HEX(((D351)*2^23),8)</f>
        <v>00800000</v>
      </c>
      <c r="F351" s="17" t="s">
        <v>253</v>
      </c>
      <c r="G351" s="693"/>
      <c r="H351" s="693"/>
      <c r="I351" s="696"/>
      <c r="J351" s="18"/>
    </row>
    <row r="352" spans="2:13" ht="140.25">
      <c r="B352" s="58" t="s">
        <v>133</v>
      </c>
      <c r="C352" s="60"/>
      <c r="D352" s="190">
        <f>(C201 - 5)</f>
        <v>17</v>
      </c>
      <c r="E352" s="307" t="str">
        <f>DEC2HEX(((D352)*2^16),8)</f>
        <v>00110000</v>
      </c>
      <c r="F352" s="32" t="s">
        <v>266</v>
      </c>
      <c r="G352" s="693"/>
      <c r="H352" s="693"/>
      <c r="I352" s="696"/>
      <c r="J352" s="172"/>
    </row>
    <row r="353" spans="1:11" ht="140.25">
      <c r="B353" s="58" t="s">
        <v>134</v>
      </c>
      <c r="C353" s="60"/>
      <c r="D353" s="119">
        <v>1</v>
      </c>
      <c r="E353" s="307" t="str">
        <f>DEC2HEX(((D353)*2^15),8)</f>
        <v>00008000</v>
      </c>
      <c r="F353" s="32" t="s">
        <v>254</v>
      </c>
      <c r="G353" s="693"/>
      <c r="H353" s="693"/>
      <c r="I353" s="696"/>
      <c r="J353" s="18"/>
    </row>
    <row r="354" spans="1:11" ht="100.5" customHeight="1">
      <c r="B354" s="72" t="s">
        <v>135</v>
      </c>
      <c r="C354" s="60"/>
      <c r="D354" s="119">
        <v>2</v>
      </c>
      <c r="E354" s="307" t="str">
        <f>DEC2HEX(((D354)*2^8),8)</f>
        <v>00000200</v>
      </c>
      <c r="F354" s="32" t="s">
        <v>71</v>
      </c>
      <c r="G354" s="693"/>
      <c r="H354" s="693"/>
      <c r="I354" s="696"/>
      <c r="J354" s="18"/>
    </row>
    <row r="355" spans="1:11" ht="102.75" thickBot="1">
      <c r="B355" s="136" t="s">
        <v>136</v>
      </c>
      <c r="C355" s="62"/>
      <c r="D355" s="151">
        <f>C200-5</f>
        <v>11</v>
      </c>
      <c r="E355" s="308" t="str">
        <f>DEC2HEX(((D355)*2^0),8)</f>
        <v>0000000B</v>
      </c>
      <c r="F355" s="34" t="s">
        <v>1194</v>
      </c>
      <c r="G355" s="659"/>
      <c r="H355" s="659"/>
      <c r="I355" s="697"/>
      <c r="J355" s="412"/>
      <c r="K355" s="413"/>
    </row>
    <row r="356" spans="1:11" ht="12.75" customHeight="1" thickBot="1">
      <c r="B356" s="67"/>
      <c r="C356" s="68"/>
      <c r="D356" s="69"/>
      <c r="E356" s="70"/>
      <c r="F356" s="71"/>
      <c r="G356" s="36"/>
      <c r="H356" s="36"/>
      <c r="I356" s="55"/>
      <c r="J356" s="18"/>
    </row>
    <row r="357" spans="1:11" ht="89.25">
      <c r="B357" s="57" t="s">
        <v>203</v>
      </c>
      <c r="C357" s="64" t="s">
        <v>0</v>
      </c>
      <c r="D357" s="56">
        <v>0</v>
      </c>
      <c r="E357" s="52" t="str">
        <f>DEC2HEX(((D357)*2^28),8)</f>
        <v>00000000</v>
      </c>
      <c r="F357" s="33" t="s">
        <v>204</v>
      </c>
      <c r="G357" s="688" t="s">
        <v>51</v>
      </c>
      <c r="H357" s="688" t="str">
        <f>"0x"&amp;DEC2HEX((HEX2DEC(C38)+404), 8)</f>
        <v>0x3D400194</v>
      </c>
      <c r="I357" s="660" t="str">
        <f>"0x"&amp;DEC2HEX((HEX2DEC(E357)+HEX2DEC(E358)+HEX2DEC(E359)+HEX2DEC(E360)+HEX2DEC(E361)), 8)</f>
        <v>0x02020303</v>
      </c>
      <c r="J357" s="18"/>
    </row>
    <row r="358" spans="1:11" ht="51">
      <c r="B358" s="58" t="s">
        <v>205</v>
      </c>
      <c r="C358" s="60" t="s">
        <v>0</v>
      </c>
      <c r="D358" s="61">
        <v>2</v>
      </c>
      <c r="E358" s="53" t="str">
        <f>DEC2HEX(((D358)*2^24),8)</f>
        <v>02000000</v>
      </c>
      <c r="F358" s="17" t="s">
        <v>206</v>
      </c>
      <c r="G358" s="693"/>
      <c r="H358" s="693"/>
      <c r="I358" s="694"/>
      <c r="J358" s="18"/>
    </row>
    <row r="359" spans="1:11" ht="191.25">
      <c r="B359" s="58" t="s">
        <v>137</v>
      </c>
      <c r="C359" s="60" t="s">
        <v>0</v>
      </c>
      <c r="D359" s="61">
        <v>2</v>
      </c>
      <c r="E359" s="53" t="str">
        <f>DEC2HEX(((D359)*2^16),8)</f>
        <v>00020000</v>
      </c>
      <c r="F359" s="32" t="s">
        <v>202</v>
      </c>
      <c r="G359" s="693"/>
      <c r="H359" s="693"/>
      <c r="I359" s="694"/>
      <c r="J359" s="18"/>
    </row>
    <row r="360" spans="1:11" ht="91.5" customHeight="1">
      <c r="B360" s="58" t="s">
        <v>138</v>
      </c>
      <c r="C360" s="60" t="s">
        <v>0</v>
      </c>
      <c r="D360" s="61">
        <v>3</v>
      </c>
      <c r="E360" s="53" t="str">
        <f>DEC2HEX(((D360)*2^8),8)</f>
        <v>00000300</v>
      </c>
      <c r="F360" s="32" t="s">
        <v>962</v>
      </c>
      <c r="G360" s="693"/>
      <c r="H360" s="693"/>
      <c r="I360" s="694"/>
      <c r="J360" s="18"/>
    </row>
    <row r="361" spans="1:11" ht="96.75" customHeight="1" thickBot="1">
      <c r="B361" s="59" t="s">
        <v>139</v>
      </c>
      <c r="C361" s="62" t="s">
        <v>0</v>
      </c>
      <c r="D361" s="63">
        <v>3</v>
      </c>
      <c r="E361" s="54" t="str">
        <f>DEC2HEX(((D361)*2^0),8)</f>
        <v>00000003</v>
      </c>
      <c r="F361" s="34" t="s">
        <v>70</v>
      </c>
      <c r="G361" s="659"/>
      <c r="H361" s="659"/>
      <c r="I361" s="661"/>
      <c r="J361" s="18"/>
    </row>
    <row r="362" spans="1:11" ht="8.25" customHeight="1" thickBot="1">
      <c r="B362" s="73"/>
      <c r="C362" s="74"/>
      <c r="D362" s="75"/>
      <c r="E362" s="36"/>
      <c r="F362" s="71"/>
      <c r="G362" s="78"/>
      <c r="H362" s="78"/>
      <c r="I362" s="78"/>
      <c r="J362" s="18"/>
    </row>
    <row r="363" spans="1:11" ht="76.5">
      <c r="A363" s="196"/>
      <c r="B363" s="57" t="s">
        <v>208</v>
      </c>
      <c r="C363" s="88" t="s">
        <v>0</v>
      </c>
      <c r="D363" s="87">
        <f>(C201-5)</f>
        <v>17</v>
      </c>
      <c r="E363" s="194" t="str">
        <f>DEC2HEX(((D363)*2^8),8)</f>
        <v>00001100</v>
      </c>
      <c r="F363" s="33" t="s">
        <v>743</v>
      </c>
      <c r="G363" s="658" t="s">
        <v>207</v>
      </c>
      <c r="H363" s="658" t="str">
        <f>"0x"&amp;DEC2HEX((HEX2DEC(C38)+436), 8)</f>
        <v>0x3D4001B4</v>
      </c>
      <c r="I363" s="660" t="str">
        <f>"0x"&amp;DEC2HEX((HEX2DEC(E363)+HEX2DEC(E364)), 8)</f>
        <v>0x0000110B</v>
      </c>
      <c r="J363" s="18"/>
    </row>
    <row r="364" spans="1:11" ht="90" thickBot="1">
      <c r="A364" s="196"/>
      <c r="B364" s="59" t="s">
        <v>209</v>
      </c>
      <c r="C364" s="92" t="s">
        <v>0</v>
      </c>
      <c r="D364" s="151">
        <f>(C200-5)</f>
        <v>11</v>
      </c>
      <c r="E364" s="195" t="str">
        <f>DEC2HEX(((D364)*2^0),8)</f>
        <v>0000000B</v>
      </c>
      <c r="F364" s="34" t="s">
        <v>742</v>
      </c>
      <c r="G364" s="659"/>
      <c r="H364" s="659"/>
      <c r="I364" s="661"/>
      <c r="J364" s="18"/>
    </row>
    <row r="365" spans="1:11" ht="12" customHeight="1" thickBot="1">
      <c r="A365" s="196"/>
      <c r="B365" s="73"/>
      <c r="C365" s="98"/>
      <c r="D365" s="367"/>
      <c r="E365" s="36"/>
      <c r="F365" s="71"/>
      <c r="G365" s="78"/>
      <c r="H365" s="78"/>
      <c r="I365" s="78"/>
      <c r="J365" s="18"/>
    </row>
    <row r="366" spans="1:11" ht="90" thickBot="1">
      <c r="A366" s="196"/>
      <c r="B366" s="201" t="s">
        <v>747</v>
      </c>
      <c r="C366" s="368">
        <v>8</v>
      </c>
      <c r="D366" s="369">
        <f>ROUNDUP(C366/2,0)</f>
        <v>4</v>
      </c>
      <c r="E366" s="202" t="str">
        <f>DEC2HEX(D366,8)</f>
        <v>00000004</v>
      </c>
      <c r="F366" s="370" t="s">
        <v>748</v>
      </c>
      <c r="G366" s="320" t="s">
        <v>749</v>
      </c>
      <c r="H366" s="76" t="str">
        <f>"0x"&amp;DEC2HEX((HEX2DEC(C38)+440), 8)</f>
        <v>0x3D4001B8</v>
      </c>
      <c r="I366" s="371" t="str">
        <f>"0x"&amp;DEC2HEX(HEX2DEC(E366), 8)</f>
        <v>0x00000004</v>
      </c>
      <c r="J366" s="18"/>
    </row>
    <row r="367" spans="1:11" ht="10.5" customHeight="1" thickBot="1">
      <c r="A367" s="196"/>
      <c r="B367" s="73"/>
      <c r="C367" s="98"/>
      <c r="D367" s="367"/>
      <c r="E367" s="36"/>
      <c r="F367" s="71"/>
      <c r="G367" s="372"/>
      <c r="H367" s="78"/>
      <c r="I367" s="55"/>
      <c r="J367" s="18"/>
    </row>
    <row r="368" spans="1:11" ht="76.5">
      <c r="A368" s="196"/>
      <c r="B368" s="57" t="s">
        <v>751</v>
      </c>
      <c r="C368" s="88" t="s">
        <v>0</v>
      </c>
      <c r="D368" s="374">
        <v>7</v>
      </c>
      <c r="E368" s="294" t="str">
        <f>DEC2HEX(((D368)*2^24),8)</f>
        <v>07000000</v>
      </c>
      <c r="F368" s="33" t="s">
        <v>764</v>
      </c>
      <c r="G368" s="821" t="s">
        <v>750</v>
      </c>
      <c r="H368" s="658" t="str">
        <f>"0x"&amp;DEC2HEX((HEX2DEC(C38)+408), 8)</f>
        <v>0x3D400198</v>
      </c>
      <c r="I368" s="660" t="str">
        <f>"0x"&amp;DEC2HEX((HEX2DEC(E368)+HEX2DEC(E369)+HEX2DEC(E370)+HEX2DEC(E371)+HEX2DEC(E372)+HEX2DEC(E373)+HEX2DEC(E374)), 8)</f>
        <v>0x07F04011</v>
      </c>
      <c r="J368" s="18"/>
    </row>
    <row r="369" spans="1:11" ht="280.5">
      <c r="A369" s="196"/>
      <c r="B369" s="58" t="s">
        <v>752</v>
      </c>
      <c r="C369" s="89" t="s">
        <v>0</v>
      </c>
      <c r="D369" s="373">
        <v>15</v>
      </c>
      <c r="E369" s="295" t="str">
        <f>DEC2HEX(((D369)*2^20),8)</f>
        <v>00F00000</v>
      </c>
      <c r="F369" s="17" t="s">
        <v>763</v>
      </c>
      <c r="G369" s="822"/>
      <c r="H369" s="693"/>
      <c r="I369" s="691"/>
      <c r="J369" s="18"/>
    </row>
    <row r="370" spans="1:11" ht="89.25">
      <c r="A370" s="196"/>
      <c r="B370" s="58" t="s">
        <v>753</v>
      </c>
      <c r="C370" s="89" t="s">
        <v>0</v>
      </c>
      <c r="D370" s="373">
        <v>0</v>
      </c>
      <c r="E370" s="295" t="str">
        <f>DEC2HEX(((D370)*2^16),8)</f>
        <v>00000000</v>
      </c>
      <c r="F370" s="17" t="s">
        <v>762</v>
      </c>
      <c r="G370" s="822"/>
      <c r="H370" s="693"/>
      <c r="I370" s="691"/>
      <c r="J370" s="18"/>
    </row>
    <row r="371" spans="1:11" ht="255">
      <c r="A371" s="196"/>
      <c r="B371" s="58" t="s">
        <v>754</v>
      </c>
      <c r="C371" s="89" t="s">
        <v>0</v>
      </c>
      <c r="D371" s="373">
        <v>4</v>
      </c>
      <c r="E371" s="295" t="str">
        <f>DEC2HEX(((D371)*2^12),8)</f>
        <v>00004000</v>
      </c>
      <c r="F371" s="17" t="s">
        <v>761</v>
      </c>
      <c r="G371" s="822"/>
      <c r="H371" s="693"/>
      <c r="I371" s="691"/>
      <c r="J371" s="18"/>
    </row>
    <row r="372" spans="1:11" ht="63.75">
      <c r="A372" s="196"/>
      <c r="B372" s="58" t="s">
        <v>755</v>
      </c>
      <c r="C372" s="89" t="s">
        <v>0</v>
      </c>
      <c r="D372" s="373">
        <v>0</v>
      </c>
      <c r="E372" s="295" t="str">
        <f>DEC2HEX(((D372)*2^8),8)</f>
        <v>00000000</v>
      </c>
      <c r="F372" s="17" t="s">
        <v>760</v>
      </c>
      <c r="G372" s="822"/>
      <c r="H372" s="693"/>
      <c r="I372" s="691"/>
      <c r="J372" s="18"/>
    </row>
    <row r="373" spans="1:11" ht="255">
      <c r="A373" s="196"/>
      <c r="B373" s="58" t="s">
        <v>756</v>
      </c>
      <c r="C373" s="89" t="s">
        <v>0</v>
      </c>
      <c r="D373" s="373">
        <v>1</v>
      </c>
      <c r="E373" s="295" t="str">
        <f>DEC2HEX(((D373)*2^4),8)</f>
        <v>00000010</v>
      </c>
      <c r="F373" s="17" t="s">
        <v>759</v>
      </c>
      <c r="G373" s="822"/>
      <c r="H373" s="693"/>
      <c r="I373" s="691"/>
      <c r="J373" s="18"/>
    </row>
    <row r="374" spans="1:11" ht="64.5" thickBot="1">
      <c r="A374" s="196"/>
      <c r="B374" s="59" t="s">
        <v>757</v>
      </c>
      <c r="C374" s="92" t="s">
        <v>0</v>
      </c>
      <c r="D374" s="375">
        <v>1</v>
      </c>
      <c r="E374" s="296" t="str">
        <f>DEC2HEX(((D374)*2^0),8)</f>
        <v>00000001</v>
      </c>
      <c r="F374" s="34" t="s">
        <v>758</v>
      </c>
      <c r="G374" s="823"/>
      <c r="H374" s="659"/>
      <c r="I374" s="692"/>
      <c r="J374" s="18"/>
    </row>
    <row r="375" spans="1:11" ht="13.5" thickBot="1">
      <c r="A375" s="196"/>
      <c r="B375" s="73"/>
      <c r="C375" s="98"/>
      <c r="D375" s="376"/>
      <c r="E375" s="36"/>
      <c r="F375" s="71"/>
      <c r="G375" s="372"/>
      <c r="H375" s="78"/>
      <c r="I375" s="55"/>
      <c r="J375" s="18"/>
    </row>
    <row r="376" spans="1:11" ht="267.75">
      <c r="A376" s="196"/>
      <c r="B376" s="57" t="s">
        <v>765</v>
      </c>
      <c r="C376" s="88" t="s">
        <v>0</v>
      </c>
      <c r="D376" s="374">
        <v>11</v>
      </c>
      <c r="E376" s="294" t="str">
        <f>DEC2HEX(((D376)*2^4),8)</f>
        <v>000000B0</v>
      </c>
      <c r="F376" s="33" t="s">
        <v>767</v>
      </c>
      <c r="G376" s="821" t="s">
        <v>769</v>
      </c>
      <c r="H376" s="658" t="str">
        <f>"0x"&amp;DEC2HEX((HEX2DEC(C38)+412), 8)</f>
        <v>0x3D40019C</v>
      </c>
      <c r="I376" s="660" t="str">
        <f>"0x"&amp;DEC2HEX((HEX2DEC(E376)+HEX2DEC(E377)), 8)</f>
        <v>0x000000B0</v>
      </c>
      <c r="J376" s="18"/>
    </row>
    <row r="377" spans="1:11" ht="77.25" thickBot="1">
      <c r="A377" s="196"/>
      <c r="B377" s="59" t="s">
        <v>766</v>
      </c>
      <c r="C377" s="92" t="s">
        <v>0</v>
      </c>
      <c r="D377" s="375">
        <v>0</v>
      </c>
      <c r="E377" s="296" t="str">
        <f>DEC2HEX(((D377)*2^0),8)</f>
        <v>00000000</v>
      </c>
      <c r="F377" s="34" t="s">
        <v>768</v>
      </c>
      <c r="G377" s="823"/>
      <c r="H377" s="659"/>
      <c r="I377" s="692"/>
      <c r="J377" s="18"/>
    </row>
    <row r="378" spans="1:11" ht="12" customHeight="1" thickBot="1">
      <c r="B378" s="73"/>
      <c r="C378" s="98"/>
      <c r="D378" s="75"/>
      <c r="E378" s="36"/>
      <c r="F378" s="71"/>
      <c r="G378" s="78"/>
      <c r="H378" s="78"/>
      <c r="I378" s="78"/>
      <c r="J378" s="18"/>
    </row>
    <row r="379" spans="1:11" ht="63.75">
      <c r="B379" s="57" t="s">
        <v>268</v>
      </c>
      <c r="C379" s="88" t="s">
        <v>0</v>
      </c>
      <c r="D379" s="56">
        <v>0</v>
      </c>
      <c r="E379" s="226" t="str">
        <f>DEC2HEX(((D379)*2^4),8)</f>
        <v>00000000</v>
      </c>
      <c r="F379" s="33" t="s">
        <v>744</v>
      </c>
      <c r="G379" s="658" t="s">
        <v>210</v>
      </c>
      <c r="H379" s="658" t="str">
        <f>"0x"&amp;DEC2HEX((HEX2DEC(C38)+432), 8)</f>
        <v>0x3D4001B0</v>
      </c>
      <c r="I379" s="711" t="str">
        <f>"0x"&amp;DEC2HEX((HEX2DEC(E380)+HEX2DEC(E381)+HEX2DEC(E382)+HEX2DEC(E379)), 8)</f>
        <v>0x00000001</v>
      </c>
      <c r="J379" s="18"/>
    </row>
    <row r="380" spans="1:11" ht="63.75">
      <c r="B380" s="58" t="s">
        <v>211</v>
      </c>
      <c r="C380" s="89" t="s">
        <v>0</v>
      </c>
      <c r="D380" s="119">
        <v>0</v>
      </c>
      <c r="E380" s="227" t="str">
        <f>DEC2HEX(((D380)*2^2),8)</f>
        <v>00000000</v>
      </c>
      <c r="F380" s="17" t="s">
        <v>214</v>
      </c>
      <c r="G380" s="693"/>
      <c r="H380" s="693"/>
      <c r="I380" s="694"/>
      <c r="J380" s="817"/>
      <c r="K380" s="807"/>
    </row>
    <row r="381" spans="1:11" ht="63.75">
      <c r="B381" s="58" t="s">
        <v>212</v>
      </c>
      <c r="C381" s="89" t="s">
        <v>0</v>
      </c>
      <c r="D381" s="119">
        <v>0</v>
      </c>
      <c r="E381" s="227" t="str">
        <f>DEC2HEX(((D381)*2^1),8)</f>
        <v>00000000</v>
      </c>
      <c r="F381" s="17" t="s">
        <v>215</v>
      </c>
      <c r="G381" s="693"/>
      <c r="H381" s="693"/>
      <c r="I381" s="694"/>
      <c r="J381" s="817"/>
      <c r="K381" s="807"/>
    </row>
    <row r="382" spans="1:11" ht="51.75" thickBot="1">
      <c r="B382" s="59" t="s">
        <v>213</v>
      </c>
      <c r="C382" s="92" t="s">
        <v>0</v>
      </c>
      <c r="D382" s="63">
        <v>1</v>
      </c>
      <c r="E382" s="228" t="str">
        <f>DEC2HEX(((D382)*2^0),8)</f>
        <v>00000001</v>
      </c>
      <c r="F382" s="34" t="s">
        <v>216</v>
      </c>
      <c r="G382" s="659"/>
      <c r="H382" s="659"/>
      <c r="I382" s="661"/>
      <c r="J382" s="817"/>
      <c r="K382" s="807"/>
    </row>
    <row r="383" spans="1:11" ht="7.5" customHeight="1" thickBot="1">
      <c r="B383" s="67"/>
      <c r="C383" s="68"/>
      <c r="D383" s="69"/>
      <c r="E383" s="70"/>
      <c r="F383" s="71"/>
      <c r="G383" s="36"/>
      <c r="H383" s="36"/>
      <c r="I383" s="55"/>
      <c r="J383" s="18"/>
    </row>
    <row r="384" spans="1:11" ht="105" customHeight="1">
      <c r="B384" s="57" t="s">
        <v>140</v>
      </c>
      <c r="C384" s="64" t="s">
        <v>0</v>
      </c>
      <c r="D384" s="56">
        <v>1</v>
      </c>
      <c r="E384" s="52" t="str">
        <f>DEC2HEX(((D384)*2^31),8)</f>
        <v>80000000</v>
      </c>
      <c r="F384" s="129" t="s">
        <v>69</v>
      </c>
      <c r="G384" s="688" t="s">
        <v>52</v>
      </c>
      <c r="H384" s="688" t="str">
        <f>"0x"&amp;DEC2HEX((HEX2DEC(C38)+416), 8)</f>
        <v>0x3D4001A0</v>
      </c>
      <c r="I384" s="660" t="str">
        <f>"0x"&amp;DEC2HEX((HEX2DEC(E384)+HEX2DEC(E385)+HEX2DEC(E386)+HEX2DEC(E387)+HEX2DEC(E388)), 8)</f>
        <v>0xE0400018</v>
      </c>
      <c r="J384" s="18"/>
    </row>
    <row r="385" spans="2:10" ht="102.75" customHeight="1">
      <c r="B385" s="58" t="s">
        <v>141</v>
      </c>
      <c r="C385" s="60" t="s">
        <v>0</v>
      </c>
      <c r="D385" s="61">
        <v>1</v>
      </c>
      <c r="E385" s="53" t="str">
        <f>DEC2HEX(((D385)*2^30),8)</f>
        <v>40000000</v>
      </c>
      <c r="F385" s="191" t="s">
        <v>68</v>
      </c>
      <c r="G385" s="689"/>
      <c r="H385" s="689"/>
      <c r="I385" s="691"/>
      <c r="J385" s="18"/>
    </row>
    <row r="386" spans="2:10" ht="102.75" customHeight="1">
      <c r="B386" s="72" t="s">
        <v>745</v>
      </c>
      <c r="C386" s="60" t="s">
        <v>0</v>
      </c>
      <c r="D386" s="119">
        <v>1</v>
      </c>
      <c r="E386" s="295" t="str">
        <f>DEC2HEX(((D386)*2^29),8)</f>
        <v>20000000</v>
      </c>
      <c r="F386" s="365" t="s">
        <v>746</v>
      </c>
      <c r="G386" s="689"/>
      <c r="H386" s="689"/>
      <c r="I386" s="691"/>
      <c r="J386" s="18"/>
    </row>
    <row r="387" spans="2:10" ht="63" customHeight="1">
      <c r="B387" s="72" t="s">
        <v>142</v>
      </c>
      <c r="C387" s="60" t="s">
        <v>0</v>
      </c>
      <c r="D387" s="61">
        <v>64</v>
      </c>
      <c r="E387" s="53" t="str">
        <f>DEC2HEX(((D387)*2^16),8)</f>
        <v>00400000</v>
      </c>
      <c r="F387" s="365" t="s">
        <v>66</v>
      </c>
      <c r="G387" s="689"/>
      <c r="H387" s="689"/>
      <c r="I387" s="691"/>
      <c r="J387" s="18"/>
    </row>
    <row r="388" spans="2:10" ht="105.75" customHeight="1" thickBot="1">
      <c r="B388" s="59" t="s">
        <v>143</v>
      </c>
      <c r="C388" s="62" t="s">
        <v>0</v>
      </c>
      <c r="D388" s="63">
        <v>24</v>
      </c>
      <c r="E388" s="54" t="str">
        <f>DEC2HEX(((D388)*2^0),8)</f>
        <v>00000018</v>
      </c>
      <c r="F388" s="130" t="s">
        <v>67</v>
      </c>
      <c r="G388" s="690"/>
      <c r="H388" s="690"/>
      <c r="I388" s="692"/>
      <c r="J388" s="18"/>
    </row>
    <row r="389" spans="2:10" ht="6" customHeight="1" thickBot="1">
      <c r="B389" s="67"/>
      <c r="C389" s="68"/>
      <c r="D389" s="69"/>
      <c r="E389" s="70"/>
      <c r="F389" s="71"/>
      <c r="G389" s="36"/>
      <c r="H389" s="36"/>
      <c r="I389" s="55"/>
      <c r="J389" s="18"/>
    </row>
    <row r="390" spans="2:10" ht="102">
      <c r="B390" s="57" t="s">
        <v>144</v>
      </c>
      <c r="C390" s="64" t="s">
        <v>0</v>
      </c>
      <c r="D390" s="173">
        <v>72</v>
      </c>
      <c r="E390" s="52" t="str">
        <f>DEC2HEX(((D390)*2^16),8)</f>
        <v>00480000</v>
      </c>
      <c r="F390" s="33" t="s">
        <v>65</v>
      </c>
      <c r="G390" s="688" t="s">
        <v>53</v>
      </c>
      <c r="H390" s="688" t="str">
        <f>"0x"&amp;DEC2HEX((HEX2DEC(C38)+420), 8)</f>
        <v>0x3D4001A4</v>
      </c>
      <c r="I390" s="660" t="str">
        <f>"0x"&amp;DEC2HEX((HEX2DEC(E390)+HEX2DEC(E391)), 8)</f>
        <v>0x0048005A</v>
      </c>
      <c r="J390" s="18"/>
    </row>
    <row r="391" spans="2:10" ht="179.25" thickBot="1">
      <c r="B391" s="59" t="s">
        <v>145</v>
      </c>
      <c r="C391" s="62" t="s">
        <v>0</v>
      </c>
      <c r="D391" s="63">
        <v>90</v>
      </c>
      <c r="E391" s="54" t="str">
        <f>DEC2HEX(((D391)*2^0),8)</f>
        <v>0000005A</v>
      </c>
      <c r="F391" s="34" t="s">
        <v>217</v>
      </c>
      <c r="G391" s="659"/>
      <c r="H391" s="659"/>
      <c r="I391" s="661"/>
      <c r="J391" s="18"/>
    </row>
    <row r="392" spans="2:10" ht="6.75" customHeight="1" thickBot="1">
      <c r="B392" s="67"/>
      <c r="C392" s="68"/>
      <c r="D392" s="69"/>
      <c r="E392" s="70"/>
      <c r="F392" s="71"/>
      <c r="G392" s="36"/>
      <c r="H392" s="36"/>
      <c r="I392" s="55"/>
      <c r="J392" s="18"/>
    </row>
    <row r="393" spans="2:10" ht="68.25" customHeight="1" thickBot="1">
      <c r="B393" s="203" t="s">
        <v>146</v>
      </c>
      <c r="C393" s="204" t="s">
        <v>0</v>
      </c>
      <c r="D393" s="205">
        <v>1</v>
      </c>
      <c r="E393" s="206" t="str">
        <f>DEC2HEX(((D393)*2^31),8)</f>
        <v>80000000</v>
      </c>
      <c r="F393" s="366" t="s">
        <v>64</v>
      </c>
      <c r="G393" s="206" t="s">
        <v>54</v>
      </c>
      <c r="H393" s="206" t="str">
        <f>"0x"&amp;DEC2HEX((HEX2DEC(C38)+424), 8)</f>
        <v>0x3D4001A8</v>
      </c>
      <c r="I393" s="208" t="str">
        <f>"0x"&amp;DEC2HEX((HEX2DEC(E393)), 8)</f>
        <v>0x80000000</v>
      </c>
      <c r="J393" s="18"/>
    </row>
    <row r="394" spans="2:10" ht="13.5" thickBot="1">
      <c r="B394" s="74"/>
      <c r="C394" s="74"/>
      <c r="D394" s="75"/>
      <c r="E394" s="106"/>
      <c r="F394" s="187"/>
      <c r="G394" s="188"/>
      <c r="H394" s="188"/>
      <c r="I394" s="188"/>
      <c r="J394" s="18"/>
    </row>
    <row r="395" spans="2:10" ht="102">
      <c r="B395" s="120" t="s">
        <v>233</v>
      </c>
      <c r="C395" s="88" t="s">
        <v>0</v>
      </c>
      <c r="D395" s="56">
        <v>0</v>
      </c>
      <c r="E395" s="138" t="str">
        <f>DEC2HEX(((D395)*2^2),8)</f>
        <v>00000000</v>
      </c>
      <c r="F395" s="139" t="s">
        <v>236</v>
      </c>
      <c r="G395" s="847" t="s">
        <v>232</v>
      </c>
      <c r="H395" s="847" t="str">
        <f>"0x"&amp;DEC2HEX((HEX2DEC(C38)+448), 8)</f>
        <v>0x3D4001C0</v>
      </c>
      <c r="I395" s="846" t="str">
        <f>"0x"&amp;DEC2HEX((HEX2DEC(E395)+HEX2DEC(E396)+HEX2DEC(E397)), 8)</f>
        <v>0x00000001</v>
      </c>
      <c r="J395" s="18"/>
    </row>
    <row r="396" spans="2:10" ht="102">
      <c r="B396" s="121" t="s">
        <v>234</v>
      </c>
      <c r="C396" s="89" t="s">
        <v>0</v>
      </c>
      <c r="D396" s="119">
        <v>0</v>
      </c>
      <c r="E396" s="140" t="str">
        <f>DEC2HEX(((D396)*2^1),8)</f>
        <v>00000000</v>
      </c>
      <c r="F396" s="197" t="s">
        <v>237</v>
      </c>
      <c r="G396" s="674"/>
      <c r="H396" s="674"/>
      <c r="I396" s="677"/>
      <c r="J396" s="18"/>
    </row>
    <row r="397" spans="2:10" ht="128.25" thickBot="1">
      <c r="B397" s="136" t="s">
        <v>235</v>
      </c>
      <c r="C397" s="92" t="s">
        <v>0</v>
      </c>
      <c r="D397" s="63">
        <v>1</v>
      </c>
      <c r="E397" s="141" t="str">
        <f>DEC2HEX(((D397)*2^0),8)</f>
        <v>00000001</v>
      </c>
      <c r="F397" s="142" t="s">
        <v>238</v>
      </c>
      <c r="G397" s="675"/>
      <c r="H397" s="675"/>
      <c r="I397" s="678"/>
      <c r="J397" s="18"/>
    </row>
    <row r="398" spans="2:10" ht="13.5" thickBot="1">
      <c r="B398" s="74"/>
      <c r="C398" s="98"/>
      <c r="D398" s="75"/>
      <c r="E398" s="106"/>
      <c r="F398" s="187"/>
      <c r="G398" s="188"/>
      <c r="H398" s="188"/>
      <c r="I398" s="188"/>
      <c r="J398" s="18"/>
    </row>
    <row r="399" spans="2:10" ht="51.75" thickBot="1">
      <c r="B399" s="203" t="s">
        <v>772</v>
      </c>
      <c r="C399" s="368" t="s">
        <v>0</v>
      </c>
      <c r="D399" s="205">
        <v>0</v>
      </c>
      <c r="E399" s="206" t="str">
        <f>DEC2HEX(((D399)*2^0),8)</f>
        <v>00000000</v>
      </c>
      <c r="F399" s="207" t="s">
        <v>773</v>
      </c>
      <c r="G399" s="320" t="s">
        <v>771</v>
      </c>
      <c r="H399" s="377" t="str">
        <f>"0x"&amp;DEC2HEX((HEX2DEC(C38)+452), 8)</f>
        <v>0x3D4001C4</v>
      </c>
      <c r="I399" s="378" t="str">
        <f>"0x"&amp;DEC2HEX((HEX2DEC(E399)), 8)</f>
        <v>0x00000000</v>
      </c>
      <c r="J399" s="18"/>
    </row>
    <row r="400" spans="2:10" ht="13.5" thickBot="1">
      <c r="B400" s="74"/>
      <c r="C400" s="98"/>
      <c r="D400" s="75"/>
      <c r="E400" s="106"/>
      <c r="F400" s="187"/>
      <c r="G400" s="372"/>
      <c r="H400" s="188"/>
      <c r="I400" s="188"/>
      <c r="J400" s="18"/>
    </row>
    <row r="401" spans="2:10" ht="13.5" thickBot="1">
      <c r="B401" s="818" t="s">
        <v>930</v>
      </c>
      <c r="C401" s="819"/>
      <c r="D401" s="819"/>
      <c r="E401" s="819"/>
      <c r="F401" s="819"/>
      <c r="G401" s="819"/>
      <c r="H401" s="819"/>
      <c r="I401" s="820"/>
      <c r="J401" s="18"/>
    </row>
    <row r="402" spans="2:10" ht="14.25" customHeight="1" thickBot="1">
      <c r="B402" s="67"/>
      <c r="C402" s="68"/>
      <c r="D402" s="69"/>
      <c r="E402" s="70"/>
      <c r="F402" s="71"/>
      <c r="G402" s="36"/>
      <c r="H402" s="36"/>
      <c r="I402" s="55"/>
      <c r="J402" s="18"/>
    </row>
    <row r="403" spans="2:10" ht="140.25">
      <c r="B403" s="120" t="s">
        <v>862</v>
      </c>
      <c r="C403" s="88" t="s">
        <v>0</v>
      </c>
      <c r="D403" s="56">
        <v>0</v>
      </c>
      <c r="E403" s="138" t="str">
        <f>DEC2HEX(((D403)*2^24),8)</f>
        <v>00000000</v>
      </c>
      <c r="F403" s="391" t="s">
        <v>863</v>
      </c>
      <c r="G403" s="670" t="s">
        <v>864</v>
      </c>
      <c r="H403" s="673" t="str">
        <f>"0x"&amp;DEC2HEX((HEX2DEC(C38)+592), 8)</f>
        <v>0x3D400250</v>
      </c>
      <c r="I403" s="676" t="str">
        <f>"0x"&amp;DEC2HEX((HEX2DEC(E403)+HEX2DEC(E404)+HEX2DEC(E405)+HEX2DEC(E406)+HEX2DEC(E407)+HEX2DEC(E408) ), 8)</f>
        <v>0x00001A05</v>
      </c>
      <c r="J403" s="18"/>
    </row>
    <row r="404" spans="2:10" ht="38.25">
      <c r="B404" s="121" t="s">
        <v>865</v>
      </c>
      <c r="C404" s="89" t="s">
        <v>0</v>
      </c>
      <c r="D404" s="119">
        <v>0</v>
      </c>
      <c r="E404" s="140" t="str">
        <f>DEC2HEX(((D404)*2^16),8)</f>
        <v>00000000</v>
      </c>
      <c r="F404" s="392" t="s">
        <v>882</v>
      </c>
      <c r="G404" s="671"/>
      <c r="H404" s="674"/>
      <c r="I404" s="677"/>
      <c r="J404" s="18"/>
    </row>
    <row r="405" spans="2:10" ht="165.75">
      <c r="B405" s="121" t="s">
        <v>866</v>
      </c>
      <c r="C405" s="89" t="s">
        <v>0</v>
      </c>
      <c r="D405" s="119">
        <v>26</v>
      </c>
      <c r="E405" s="140" t="str">
        <f>DEC2HEX(((D405)*2^8),8)</f>
        <v>00001A00</v>
      </c>
      <c r="F405" s="392" t="s">
        <v>867</v>
      </c>
      <c r="G405" s="671"/>
      <c r="H405" s="674"/>
      <c r="I405" s="677"/>
      <c r="J405" s="18"/>
    </row>
    <row r="406" spans="2:10" ht="216.75">
      <c r="B406" s="121" t="s">
        <v>868</v>
      </c>
      <c r="C406" s="89" t="s">
        <v>0</v>
      </c>
      <c r="D406" s="119">
        <v>1</v>
      </c>
      <c r="E406" s="140" t="str">
        <f>DEC2HEX(((D406)*2^2),8)</f>
        <v>00000004</v>
      </c>
      <c r="F406" s="392" t="s">
        <v>869</v>
      </c>
      <c r="G406" s="671"/>
      <c r="H406" s="674"/>
      <c r="I406" s="677"/>
      <c r="J406" s="18"/>
    </row>
    <row r="407" spans="2:10" ht="38.25">
      <c r="B407" s="121" t="s">
        <v>870</v>
      </c>
      <c r="C407" s="89" t="s">
        <v>0</v>
      </c>
      <c r="D407" s="119">
        <v>0</v>
      </c>
      <c r="E407" s="140" t="str">
        <f>DEC2HEX(((D407)*2^1),8)</f>
        <v>00000000</v>
      </c>
      <c r="F407" s="392" t="s">
        <v>871</v>
      </c>
      <c r="G407" s="671"/>
      <c r="H407" s="674"/>
      <c r="I407" s="677"/>
      <c r="J407" s="18"/>
    </row>
    <row r="408" spans="2:10" ht="115.5" thickBot="1">
      <c r="B408" s="136" t="s">
        <v>872</v>
      </c>
      <c r="C408" s="92" t="s">
        <v>0</v>
      </c>
      <c r="D408" s="63">
        <v>1</v>
      </c>
      <c r="E408" s="141" t="str">
        <f>DEC2HEX(((D408)*2^0),8)</f>
        <v>00000001</v>
      </c>
      <c r="F408" s="393" t="s">
        <v>873</v>
      </c>
      <c r="G408" s="672"/>
      <c r="H408" s="675"/>
      <c r="I408" s="678"/>
      <c r="J408" s="18"/>
    </row>
    <row r="409" spans="2:10" ht="13.5" thickBot="1">
      <c r="B409" s="74"/>
      <c r="C409" s="98"/>
      <c r="D409" s="75"/>
      <c r="E409" s="106"/>
      <c r="F409" s="394"/>
      <c r="G409" s="372"/>
      <c r="H409" s="188"/>
      <c r="I409" s="188"/>
      <c r="J409" s="18"/>
    </row>
    <row r="410" spans="2:10" ht="217.5" thickBot="1">
      <c r="B410" s="203" t="s">
        <v>883</v>
      </c>
      <c r="C410" s="368" t="s">
        <v>0</v>
      </c>
      <c r="D410" s="205">
        <v>31</v>
      </c>
      <c r="E410" s="206" t="str">
        <f>DEC2HEX(((D410)*2^0),8)</f>
        <v>0000001F</v>
      </c>
      <c r="F410" s="395" t="s">
        <v>884</v>
      </c>
      <c r="G410" s="638" t="s">
        <v>874</v>
      </c>
      <c r="H410" s="377" t="str">
        <f>"0x"&amp;DEC2HEX((HEX2DEC(C38)+596), 8)</f>
        <v>0x3D400254</v>
      </c>
      <c r="I410" s="378" t="str">
        <f>"0x"&amp;DEC2HEX((HEX2DEC(E410)), 8)</f>
        <v>0x0000001F</v>
      </c>
      <c r="J410" s="18"/>
    </row>
    <row r="411" spans="2:10" ht="13.5" thickBot="1">
      <c r="B411" s="74"/>
      <c r="C411" s="98"/>
      <c r="D411" s="75"/>
      <c r="E411" s="106"/>
      <c r="F411" s="394"/>
      <c r="G411" s="372"/>
      <c r="H411" s="188"/>
      <c r="I411" s="188"/>
      <c r="J411" s="18"/>
    </row>
    <row r="412" spans="2:10" ht="89.25">
      <c r="B412" s="120" t="s">
        <v>890</v>
      </c>
      <c r="C412" s="88" t="s">
        <v>0</v>
      </c>
      <c r="D412" s="56">
        <v>16</v>
      </c>
      <c r="E412" s="138" t="str">
        <f>DEC2HEX(((D412)*2^24),8)</f>
        <v>10000000</v>
      </c>
      <c r="F412" s="391" t="s">
        <v>892</v>
      </c>
      <c r="G412" s="707" t="s">
        <v>875</v>
      </c>
      <c r="H412" s="709" t="str">
        <f>"0x"&amp;DEC2HEX((HEX2DEC(C38)+604), 8)</f>
        <v>0x3D40025C</v>
      </c>
      <c r="I412" s="705" t="str">
        <f>"0x"&amp;DEC2HEX((HEX2DEC(E412)+HEX2DEC(E413)), 8)</f>
        <v>0x10000010</v>
      </c>
      <c r="J412" s="18"/>
    </row>
    <row r="413" spans="2:10" ht="90" thickBot="1">
      <c r="B413" s="136" t="s">
        <v>891</v>
      </c>
      <c r="C413" s="92" t="s">
        <v>0</v>
      </c>
      <c r="D413" s="63">
        <v>16</v>
      </c>
      <c r="E413" s="141" t="str">
        <f>DEC2HEX(((D413)*2^0),8)</f>
        <v>00000010</v>
      </c>
      <c r="F413" s="393" t="s">
        <v>893</v>
      </c>
      <c r="G413" s="708"/>
      <c r="H413" s="664"/>
      <c r="I413" s="706"/>
      <c r="J413" s="18"/>
    </row>
    <row r="414" spans="2:10" ht="13.5" thickBot="1">
      <c r="B414" s="74"/>
      <c r="C414" s="98"/>
      <c r="D414" s="75"/>
      <c r="E414" s="106"/>
      <c r="F414" s="394"/>
      <c r="G414" s="372"/>
      <c r="H414" s="188"/>
      <c r="I414" s="188"/>
      <c r="J414" s="18"/>
    </row>
    <row r="415" spans="2:10" ht="89.25">
      <c r="B415" s="120" t="s">
        <v>885</v>
      </c>
      <c r="C415" s="88" t="s">
        <v>0</v>
      </c>
      <c r="D415" s="56">
        <v>16</v>
      </c>
      <c r="E415" s="138" t="str">
        <f>DEC2HEX(((D415)*2^24),8)</f>
        <v>10000000</v>
      </c>
      <c r="F415" s="391" t="s">
        <v>886</v>
      </c>
      <c r="G415" s="707" t="s">
        <v>887</v>
      </c>
      <c r="H415" s="709" t="str">
        <f>"0x"&amp;DEC2HEX((HEX2DEC(C38)+612), 8)</f>
        <v>0x3D400264</v>
      </c>
      <c r="I415" s="705" t="str">
        <f>"0x"&amp;DEC2HEX((HEX2DEC(E415)+HEX2DEC(E416)), 8)</f>
        <v>0x100000FF</v>
      </c>
      <c r="J415" s="18"/>
    </row>
    <row r="416" spans="2:10" ht="90" thickBot="1">
      <c r="B416" s="136" t="s">
        <v>888</v>
      </c>
      <c r="C416" s="92" t="s">
        <v>0</v>
      </c>
      <c r="D416" s="63">
        <v>255</v>
      </c>
      <c r="E416" s="141" t="str">
        <f>DEC2HEX(((D416)*2^0),8)</f>
        <v>000000FF</v>
      </c>
      <c r="F416" s="393" t="s">
        <v>889</v>
      </c>
      <c r="G416" s="708"/>
      <c r="H416" s="664"/>
      <c r="I416" s="706"/>
      <c r="J416" s="18"/>
    </row>
    <row r="417" spans="2:10" ht="13.5" thickBot="1">
      <c r="B417" s="74"/>
      <c r="C417" s="98"/>
      <c r="D417" s="75"/>
      <c r="E417" s="106"/>
      <c r="F417" s="394"/>
      <c r="G417" s="372"/>
      <c r="H417" s="188"/>
      <c r="I417" s="188"/>
      <c r="J417" s="18"/>
    </row>
    <row r="418" spans="2:10" ht="89.25">
      <c r="B418" s="120" t="s">
        <v>894</v>
      </c>
      <c r="C418" s="88" t="s">
        <v>0</v>
      </c>
      <c r="D418" s="56">
        <v>16</v>
      </c>
      <c r="E418" s="138" t="str">
        <f>DEC2HEX(((D418)*2^24),8)</f>
        <v>10000000</v>
      </c>
      <c r="F418" s="391" t="s">
        <v>895</v>
      </c>
      <c r="G418" s="707" t="s">
        <v>896</v>
      </c>
      <c r="H418" s="709" t="str">
        <f>"0x"&amp;DEC2HEX((HEX2DEC(C38)+620), 8)</f>
        <v>0x3D40026C</v>
      </c>
      <c r="I418" s="705" t="str">
        <f>"0x"&amp;DEC2HEX((HEX2DEC(E418)+HEX2DEC(E419)), 8)</f>
        <v>0x100002FF</v>
      </c>
      <c r="J418" s="18"/>
    </row>
    <row r="419" spans="2:10" ht="90" thickBot="1">
      <c r="B419" s="136" t="s">
        <v>897</v>
      </c>
      <c r="C419" s="92" t="s">
        <v>0</v>
      </c>
      <c r="D419" s="63">
        <v>767</v>
      </c>
      <c r="E419" s="141" t="str">
        <f>DEC2HEX(((D419)*2^0),8)</f>
        <v>000002FF</v>
      </c>
      <c r="F419" s="393" t="s">
        <v>898</v>
      </c>
      <c r="G419" s="708"/>
      <c r="H419" s="664"/>
      <c r="I419" s="706"/>
      <c r="J419" s="18"/>
    </row>
    <row r="420" spans="2:10">
      <c r="B420" s="74"/>
      <c r="C420" s="98"/>
      <c r="D420" s="75"/>
      <c r="E420" s="106"/>
      <c r="F420" s="394"/>
      <c r="G420" s="372"/>
      <c r="H420" s="188"/>
      <c r="I420" s="188"/>
      <c r="J420" s="18"/>
    </row>
    <row r="421" spans="2:10" ht="13.5" thickBot="1">
      <c r="B421" s="74"/>
      <c r="C421" s="98"/>
      <c r="D421" s="75"/>
      <c r="E421" s="78"/>
      <c r="F421" s="394"/>
      <c r="G421" s="372"/>
      <c r="H421" s="188"/>
      <c r="I421" s="188"/>
      <c r="J421" s="18"/>
    </row>
    <row r="422" spans="2:10" ht="25.5">
      <c r="B422" s="120" t="s">
        <v>899</v>
      </c>
      <c r="C422" s="88" t="s">
        <v>0</v>
      </c>
      <c r="D422" s="56">
        <v>0</v>
      </c>
      <c r="E422" s="379" t="str">
        <f>DEC2HEX(((D422)*2^24),8)</f>
        <v>00000000</v>
      </c>
      <c r="F422" s="391" t="s">
        <v>906</v>
      </c>
      <c r="G422" s="670" t="s">
        <v>905</v>
      </c>
      <c r="H422" s="673" t="str">
        <f>"0x"&amp;DEC2HEX((HEX2DEC(C38)+876), 8)</f>
        <v>0x3D40036C</v>
      </c>
      <c r="I422" s="676" t="str">
        <f>"0x"&amp;DEC2HEX((HEX2DEC(E422)+HEX2DEC(E423)+HEX2DEC(E424)+HEX2DEC(E425)+HEX2DEC(E426)+HEX2DEC(E427)), 8)</f>
        <v>0x00000000</v>
      </c>
      <c r="J422" s="18"/>
    </row>
    <row r="423" spans="2:10">
      <c r="B423" s="121" t="s">
        <v>900</v>
      </c>
      <c r="C423" s="89" t="s">
        <v>0</v>
      </c>
      <c r="D423" s="119">
        <v>0</v>
      </c>
      <c r="E423" s="292" t="str">
        <f>DEC2HEX(((D423)*2^20),8)</f>
        <v>00000000</v>
      </c>
      <c r="F423" s="392" t="s">
        <v>907</v>
      </c>
      <c r="G423" s="671"/>
      <c r="H423" s="674"/>
      <c r="I423" s="677"/>
      <c r="J423" s="18"/>
    </row>
    <row r="424" spans="2:10">
      <c r="B424" s="121" t="s">
        <v>901</v>
      </c>
      <c r="C424" s="89" t="s">
        <v>0</v>
      </c>
      <c r="D424" s="119">
        <v>0</v>
      </c>
      <c r="E424" s="292" t="str">
        <f>DEC2HEX(((D424)*2^16),8)</f>
        <v>00000000</v>
      </c>
      <c r="F424" s="392" t="s">
        <v>908</v>
      </c>
      <c r="G424" s="671"/>
      <c r="H424" s="674"/>
      <c r="I424" s="677"/>
      <c r="J424" s="18"/>
    </row>
    <row r="425" spans="2:10" ht="25.5">
      <c r="B425" s="121" t="s">
        <v>902</v>
      </c>
      <c r="C425" s="89" t="s">
        <v>0</v>
      </c>
      <c r="D425" s="119">
        <v>0</v>
      </c>
      <c r="E425" s="292" t="str">
        <f>DEC2HEX(((D425)*2^8),8)</f>
        <v>00000000</v>
      </c>
      <c r="F425" s="392" t="s">
        <v>909</v>
      </c>
      <c r="G425" s="671"/>
      <c r="H425" s="674"/>
      <c r="I425" s="677"/>
      <c r="J425" s="18"/>
    </row>
    <row r="426" spans="2:10">
      <c r="B426" s="121" t="s">
        <v>903</v>
      </c>
      <c r="C426" s="89" t="s">
        <v>0</v>
      </c>
      <c r="D426" s="119">
        <v>0</v>
      </c>
      <c r="E426" s="292" t="str">
        <f>DEC2HEX(((D426)*2^4),8)</f>
        <v>00000000</v>
      </c>
      <c r="F426" s="392" t="s">
        <v>910</v>
      </c>
      <c r="G426" s="671"/>
      <c r="H426" s="674"/>
      <c r="I426" s="677"/>
      <c r="J426" s="18"/>
    </row>
    <row r="427" spans="2:10" ht="13.5" thickBot="1">
      <c r="B427" s="136" t="s">
        <v>904</v>
      </c>
      <c r="C427" s="92" t="s">
        <v>0</v>
      </c>
      <c r="D427" s="63">
        <v>0</v>
      </c>
      <c r="E427" s="293" t="str">
        <f>DEC2HEX(((D427)*2^0),8)</f>
        <v>00000000</v>
      </c>
      <c r="F427" s="393" t="s">
        <v>911</v>
      </c>
      <c r="G427" s="672"/>
      <c r="H427" s="675"/>
      <c r="I427" s="678"/>
      <c r="J427" s="18"/>
    </row>
    <row r="428" spans="2:10" ht="13.5" thickBot="1">
      <c r="B428" s="74"/>
      <c r="C428" s="98"/>
      <c r="D428" s="75"/>
      <c r="E428" s="78"/>
      <c r="F428" s="394"/>
      <c r="G428" s="372"/>
      <c r="H428" s="188"/>
      <c r="I428" s="188"/>
      <c r="J428" s="18"/>
    </row>
    <row r="429" spans="2:10" ht="246" customHeight="1">
      <c r="B429" s="120" t="s">
        <v>912</v>
      </c>
      <c r="C429" s="88" t="s">
        <v>0</v>
      </c>
      <c r="D429" s="56">
        <v>1</v>
      </c>
      <c r="E429" s="138" t="str">
        <f>DEC2HEX(((D429)*2^8),8)</f>
        <v>00000100</v>
      </c>
      <c r="F429" s="391" t="s">
        <v>913</v>
      </c>
      <c r="G429" s="670" t="s">
        <v>914</v>
      </c>
      <c r="H429" s="673" t="str">
        <f>"0x"&amp;DEC2HEX((HEX2DEC(C38)+1024), 8)</f>
        <v>0x3D400400</v>
      </c>
      <c r="I429" s="676" t="str">
        <f>"0x"&amp;DEC2HEX((HEX2DEC(E429)+HEX2DEC(E430)+HEX2DEC(E431)), 8)</f>
        <v>0x00000100</v>
      </c>
      <c r="J429" s="18"/>
    </row>
    <row r="430" spans="2:10" ht="76.5">
      <c r="B430" s="121" t="s">
        <v>915</v>
      </c>
      <c r="C430" s="89" t="s">
        <v>0</v>
      </c>
      <c r="D430" s="119">
        <v>0</v>
      </c>
      <c r="E430" s="140" t="str">
        <f>DEC2HEX(((D430)*2^4),8)</f>
        <v>00000000</v>
      </c>
      <c r="F430" s="392" t="s">
        <v>916</v>
      </c>
      <c r="G430" s="671"/>
      <c r="H430" s="674"/>
      <c r="I430" s="677"/>
      <c r="J430" s="18"/>
    </row>
    <row r="431" spans="2:10" ht="90" thickBot="1">
      <c r="B431" s="136" t="s">
        <v>917</v>
      </c>
      <c r="C431" s="92" t="s">
        <v>0</v>
      </c>
      <c r="D431" s="63">
        <v>0</v>
      </c>
      <c r="E431" s="141" t="str">
        <f>DEC2HEX(((D431)*2^0),8)</f>
        <v>00000000</v>
      </c>
      <c r="F431" s="393" t="s">
        <v>918</v>
      </c>
      <c r="G431" s="672"/>
      <c r="H431" s="675"/>
      <c r="I431" s="678"/>
      <c r="J431" s="18"/>
    </row>
    <row r="432" spans="2:10" ht="13.5" thickBot="1">
      <c r="B432" s="74"/>
      <c r="C432" s="98"/>
      <c r="D432" s="75"/>
      <c r="E432" s="78"/>
      <c r="F432" s="394"/>
      <c r="G432" s="372"/>
      <c r="H432" s="188"/>
      <c r="I432" s="188"/>
      <c r="J432" s="18"/>
    </row>
    <row r="433" spans="2:10" ht="127.5">
      <c r="B433" s="120" t="s">
        <v>919</v>
      </c>
      <c r="C433" s="88" t="s">
        <v>0</v>
      </c>
      <c r="D433" s="56">
        <v>0</v>
      </c>
      <c r="E433" s="138" t="str">
        <f>DEC2HEX(((D433)*2^16),8)</f>
        <v>00000000</v>
      </c>
      <c r="F433" s="391" t="s">
        <v>925</v>
      </c>
      <c r="G433" s="670" t="s">
        <v>876</v>
      </c>
      <c r="H433" s="673" t="str">
        <f>"0x"&amp;DEC2HEX((HEX2DEC(C38)+1028), 8)</f>
        <v>0x3D400404</v>
      </c>
      <c r="I433" s="676" t="str">
        <f>"0x"&amp;DEC2HEX((HEX2DEC(E433)+HEX2DEC(E434)+HEX2DEC(E435)+HEX2DEC(E436)+HEX2DEC(E437)+HEX2DEC(E438)), 8)</f>
        <v>0x000072FF</v>
      </c>
      <c r="J433" s="18"/>
    </row>
    <row r="434" spans="2:10" ht="63.75">
      <c r="B434" s="121" t="s">
        <v>920</v>
      </c>
      <c r="C434" s="89" t="s">
        <v>0</v>
      </c>
      <c r="D434" s="119">
        <v>1</v>
      </c>
      <c r="E434" s="140" t="str">
        <f>DEC2HEX(((D434)*2^14),8)</f>
        <v>00004000</v>
      </c>
      <c r="F434" s="392" t="s">
        <v>926</v>
      </c>
      <c r="G434" s="671"/>
      <c r="H434" s="674"/>
      <c r="I434" s="677"/>
      <c r="J434" s="18"/>
    </row>
    <row r="435" spans="2:10" ht="89.25">
      <c r="B435" s="121" t="s">
        <v>921</v>
      </c>
      <c r="C435" s="89" t="s">
        <v>0</v>
      </c>
      <c r="D435" s="119">
        <v>1</v>
      </c>
      <c r="E435" s="140" t="str">
        <f>DEC2HEX(((D435)*2^13),8)</f>
        <v>00002000</v>
      </c>
      <c r="F435" s="392" t="s">
        <v>927</v>
      </c>
      <c r="G435" s="671"/>
      <c r="H435" s="674"/>
      <c r="I435" s="677"/>
      <c r="J435" s="18"/>
    </row>
    <row r="436" spans="2:10">
      <c r="B436" s="121" t="s">
        <v>922</v>
      </c>
      <c r="C436" s="89" t="s">
        <v>0</v>
      </c>
      <c r="D436" s="119">
        <v>1</v>
      </c>
      <c r="E436" s="140" t="str">
        <f>DEC2HEX(((D436)*2^12),8)</f>
        <v>00001000</v>
      </c>
      <c r="F436" s="392" t="s">
        <v>928</v>
      </c>
      <c r="G436" s="671"/>
      <c r="H436" s="674"/>
      <c r="I436" s="677"/>
      <c r="J436" s="18"/>
    </row>
    <row r="437" spans="2:10" ht="25.5">
      <c r="B437" s="121" t="s">
        <v>923</v>
      </c>
      <c r="C437" s="89" t="s">
        <v>0</v>
      </c>
      <c r="D437" s="119">
        <v>0</v>
      </c>
      <c r="E437" s="140" t="str">
        <f>DEC2HEX(((D437)*2^11),8)</f>
        <v>00000000</v>
      </c>
      <c r="F437" s="392" t="s">
        <v>929</v>
      </c>
      <c r="G437" s="671"/>
      <c r="H437" s="674"/>
      <c r="I437" s="677"/>
      <c r="J437" s="18"/>
    </row>
    <row r="438" spans="2:10" ht="230.25" thickBot="1">
      <c r="B438" s="136" t="s">
        <v>924</v>
      </c>
      <c r="C438" s="92" t="s">
        <v>0</v>
      </c>
      <c r="D438" s="63">
        <v>767</v>
      </c>
      <c r="E438" s="141" t="str">
        <f>DEC2HEX(((D438)*2^0),8)</f>
        <v>000002FF</v>
      </c>
      <c r="F438" s="393" t="s">
        <v>931</v>
      </c>
      <c r="G438" s="672"/>
      <c r="H438" s="675"/>
      <c r="I438" s="678"/>
      <c r="J438" s="18"/>
    </row>
    <row r="439" spans="2:10" ht="13.5" thickBot="1">
      <c r="B439" s="74"/>
      <c r="C439" s="98"/>
      <c r="D439" s="75"/>
      <c r="E439" s="106"/>
      <c r="F439" s="394"/>
      <c r="G439" s="372"/>
      <c r="H439" s="188"/>
      <c r="I439" s="188"/>
      <c r="J439" s="18"/>
    </row>
    <row r="440" spans="2:10" ht="76.5">
      <c r="B440" s="120" t="s">
        <v>932</v>
      </c>
      <c r="C440" s="88" t="s">
        <v>0</v>
      </c>
      <c r="D440" s="56">
        <v>1</v>
      </c>
      <c r="E440" s="138" t="str">
        <f>DEC2HEX(((D440)*2^14),8)</f>
        <v>00004000</v>
      </c>
      <c r="F440" s="391" t="s">
        <v>933</v>
      </c>
      <c r="G440" s="670" t="s">
        <v>877</v>
      </c>
      <c r="H440" s="673" t="str">
        <f>"0x"&amp;DEC2HEX((HEX2DEC(C38)+1032), 8)</f>
        <v>0x3D400408</v>
      </c>
      <c r="I440" s="676" t="str">
        <f>"0x"&amp;DEC2HEX((HEX2DEC(E440)+HEX2DEC(E441)+HEX2DEC(E442)+HEX2DEC(E443)), 8)</f>
        <v>0x000072FF</v>
      </c>
      <c r="J440" s="18"/>
    </row>
    <row r="441" spans="2:10" ht="102">
      <c r="B441" s="121" t="s">
        <v>934</v>
      </c>
      <c r="C441" s="89" t="s">
        <v>0</v>
      </c>
      <c r="D441" s="119">
        <v>1</v>
      </c>
      <c r="E441" s="140" t="str">
        <f>DEC2HEX(((D441)*2^13),8)</f>
        <v>00002000</v>
      </c>
      <c r="F441" s="392" t="s">
        <v>935</v>
      </c>
      <c r="G441" s="671"/>
      <c r="H441" s="674"/>
      <c r="I441" s="677"/>
      <c r="J441" s="18"/>
    </row>
    <row r="442" spans="2:10" ht="25.5">
      <c r="B442" s="121" t="s">
        <v>936</v>
      </c>
      <c r="C442" s="89" t="s">
        <v>0</v>
      </c>
      <c r="D442" s="119">
        <v>1</v>
      </c>
      <c r="E442" s="140" t="str">
        <f>DEC2HEX(((D442)*2^12),8)</f>
        <v>00001000</v>
      </c>
      <c r="F442" s="396" t="s">
        <v>937</v>
      </c>
      <c r="G442" s="671"/>
      <c r="H442" s="674"/>
      <c r="I442" s="677"/>
      <c r="J442" s="18"/>
    </row>
    <row r="443" spans="2:10" ht="204.75" thickBot="1">
      <c r="B443" s="136" t="s">
        <v>938</v>
      </c>
      <c r="C443" s="92" t="s">
        <v>0</v>
      </c>
      <c r="D443" s="63">
        <v>767</v>
      </c>
      <c r="E443" s="141" t="str">
        <f>DEC2HEX(((D443)*2^0),8)</f>
        <v>000002FF</v>
      </c>
      <c r="F443" s="393" t="s">
        <v>939</v>
      </c>
      <c r="G443" s="672"/>
      <c r="H443" s="675"/>
      <c r="I443" s="678"/>
      <c r="J443" s="18"/>
    </row>
    <row r="444" spans="2:10" ht="13.5" thickBot="1">
      <c r="B444" s="74"/>
      <c r="C444" s="98"/>
      <c r="D444" s="75"/>
      <c r="E444" s="106"/>
      <c r="F444" s="394"/>
      <c r="G444" s="372"/>
      <c r="H444" s="188"/>
      <c r="I444" s="188"/>
      <c r="J444" s="18"/>
    </row>
    <row r="445" spans="2:10" ht="89.25">
      <c r="B445" s="120" t="s">
        <v>940</v>
      </c>
      <c r="C445" s="88" t="s">
        <v>0</v>
      </c>
      <c r="D445" s="56">
        <v>2</v>
      </c>
      <c r="E445" s="138" t="str">
        <f>DEC2HEX(((D445)*2^24),8)</f>
        <v>02000000</v>
      </c>
      <c r="F445" s="391" t="s">
        <v>941</v>
      </c>
      <c r="G445" s="670" t="s">
        <v>878</v>
      </c>
      <c r="H445" s="673" t="str">
        <f>"0x"&amp;DEC2HEX((HEX2DEC(C38)+1172), 8)</f>
        <v>0x3D400494</v>
      </c>
      <c r="I445" s="676" t="str">
        <f>"0x"&amp;DEC2HEX((HEX2DEC(E445)+HEX2DEC(E446)+HEX2DEC(E447)+HEX2DEC(E448)+HEX2DEC(E449)), 8)</f>
        <v>0x02100E07</v>
      </c>
      <c r="J445" s="18"/>
    </row>
    <row r="446" spans="2:10" ht="127.5">
      <c r="B446" s="121" t="s">
        <v>942</v>
      </c>
      <c r="C446" s="89" t="s">
        <v>0</v>
      </c>
      <c r="D446" s="119">
        <v>1</v>
      </c>
      <c r="E446" s="140" t="str">
        <f>DEC2HEX(((D446)*2^20),8)</f>
        <v>00100000</v>
      </c>
      <c r="F446" s="392" t="s">
        <v>943</v>
      </c>
      <c r="G446" s="671"/>
      <c r="H446" s="674"/>
      <c r="I446" s="677"/>
      <c r="J446" s="18"/>
    </row>
    <row r="447" spans="2:10" ht="127.5">
      <c r="B447" s="121" t="s">
        <v>944</v>
      </c>
      <c r="C447" s="89" t="s">
        <v>0</v>
      </c>
      <c r="D447" s="119">
        <v>0</v>
      </c>
      <c r="E447" s="140" t="str">
        <f>DEC2HEX(((D447)*2^16),8)</f>
        <v>00000000</v>
      </c>
      <c r="F447" s="392" t="s">
        <v>945</v>
      </c>
      <c r="G447" s="671"/>
      <c r="H447" s="674"/>
      <c r="I447" s="677"/>
      <c r="J447" s="18"/>
    </row>
    <row r="448" spans="2:10" ht="89.25">
      <c r="B448" s="121" t="s">
        <v>946</v>
      </c>
      <c r="C448" s="89" t="s">
        <v>0</v>
      </c>
      <c r="D448" s="119">
        <v>14</v>
      </c>
      <c r="E448" s="140" t="str">
        <f>DEC2HEX(((D448)*2^8),8)</f>
        <v>00000E00</v>
      </c>
      <c r="F448" s="392" t="s">
        <v>947</v>
      </c>
      <c r="G448" s="671"/>
      <c r="H448" s="674"/>
      <c r="I448" s="677"/>
      <c r="J448" s="18"/>
    </row>
    <row r="449" spans="2:10" ht="90" thickBot="1">
      <c r="B449" s="136" t="s">
        <v>948</v>
      </c>
      <c r="C449" s="92" t="s">
        <v>0</v>
      </c>
      <c r="D449" s="63">
        <v>7</v>
      </c>
      <c r="E449" s="141" t="str">
        <f>DEC2HEX(((D449)*2^0),8)</f>
        <v>00000007</v>
      </c>
      <c r="F449" s="393" t="s">
        <v>949</v>
      </c>
      <c r="G449" s="672"/>
      <c r="H449" s="675"/>
      <c r="I449" s="678"/>
      <c r="J449" s="18"/>
    </row>
    <row r="450" spans="2:10" ht="13.5" thickBot="1">
      <c r="B450" s="74"/>
      <c r="C450" s="98"/>
      <c r="D450" s="75"/>
      <c r="E450" s="106"/>
      <c r="F450" s="394"/>
      <c r="G450" s="372"/>
      <c r="H450" s="188"/>
      <c r="I450" s="188"/>
      <c r="J450" s="18"/>
    </row>
    <row r="451" spans="2:10" ht="38.25">
      <c r="B451" s="120" t="s">
        <v>950</v>
      </c>
      <c r="C451" s="88" t="s">
        <v>0</v>
      </c>
      <c r="D451" s="56">
        <v>98</v>
      </c>
      <c r="E451" s="138" t="str">
        <f>DEC2HEX(((D451)*2^16),8)</f>
        <v>00620000</v>
      </c>
      <c r="F451" s="391" t="s">
        <v>951</v>
      </c>
      <c r="G451" s="670" t="s">
        <v>952</v>
      </c>
      <c r="H451" s="673" t="str">
        <f>"0x"&amp;DEC2HEX((HEX2DEC(C38)+1176), 8)</f>
        <v>0x3D400498</v>
      </c>
      <c r="I451" s="676" t="str">
        <f>"0x"&amp;DEC2HEX((HEX2DEC(E451)+HEX2DEC(E452)), 8)</f>
        <v>0x00620096</v>
      </c>
      <c r="J451" s="18"/>
    </row>
    <row r="452" spans="2:10" ht="39" thickBot="1">
      <c r="B452" s="136" t="s">
        <v>953</v>
      </c>
      <c r="C452" s="92" t="s">
        <v>0</v>
      </c>
      <c r="D452" s="63">
        <v>150</v>
      </c>
      <c r="E452" s="141" t="str">
        <f>DEC2HEX(((D452)*2^0),8)</f>
        <v>00000096</v>
      </c>
      <c r="F452" s="393" t="s">
        <v>954</v>
      </c>
      <c r="G452" s="672"/>
      <c r="H452" s="675"/>
      <c r="I452" s="678"/>
      <c r="J452" s="18"/>
    </row>
    <row r="453" spans="2:10" ht="13.5" thickBot="1">
      <c r="B453" s="74"/>
      <c r="C453" s="98"/>
      <c r="D453" s="75"/>
      <c r="E453" s="106"/>
      <c r="F453" s="394"/>
      <c r="G453" s="461"/>
      <c r="H453" s="188"/>
      <c r="I453" s="188"/>
      <c r="J453" s="18"/>
    </row>
    <row r="454" spans="2:10" ht="89.25">
      <c r="B454" s="120" t="s">
        <v>1381</v>
      </c>
      <c r="C454" s="88" t="s">
        <v>0</v>
      </c>
      <c r="D454" s="56">
        <v>1</v>
      </c>
      <c r="E454" s="622" t="str">
        <f>DEC2HEX(((D454)*2^24),8)</f>
        <v>01000000</v>
      </c>
      <c r="F454" s="391" t="s">
        <v>1382</v>
      </c>
      <c r="G454" s="670" t="s">
        <v>879</v>
      </c>
      <c r="H454" s="673" t="str">
        <f>"0x"&amp;DEC2HEX((HEX2DEC(C38)+1180), 8)</f>
        <v>0x3D40049C</v>
      </c>
      <c r="I454" s="676" t="str">
        <f>"0x"&amp;DEC2HEX((HEX2DEC(E454)+HEX2DEC(E455)+HEX2DEC(E456)+HEX2DEC(E457)+HEX2DEC(E458)), 8)</f>
        <v>0x01100E07</v>
      </c>
      <c r="J454" s="18"/>
    </row>
    <row r="455" spans="2:10" ht="89.25">
      <c r="B455" s="629" t="s">
        <v>955</v>
      </c>
      <c r="C455" s="630" t="s">
        <v>0</v>
      </c>
      <c r="D455" s="411">
        <v>1</v>
      </c>
      <c r="E455" s="631" t="str">
        <f>DEC2HEX(((D455)*2^20),8)</f>
        <v>00100000</v>
      </c>
      <c r="F455" s="632" t="s">
        <v>956</v>
      </c>
      <c r="G455" s="671"/>
      <c r="H455" s="674"/>
      <c r="I455" s="677"/>
      <c r="J455" s="18"/>
    </row>
    <row r="456" spans="2:10" ht="89.25">
      <c r="B456" s="121" t="s">
        <v>957</v>
      </c>
      <c r="C456" s="89" t="s">
        <v>0</v>
      </c>
      <c r="D456" s="119">
        <v>0</v>
      </c>
      <c r="E456" s="140" t="str">
        <f>DEC2HEX(((D456)*2^16),8)</f>
        <v>00000000</v>
      </c>
      <c r="F456" s="392" t="s">
        <v>958</v>
      </c>
      <c r="G456" s="671"/>
      <c r="H456" s="674"/>
      <c r="I456" s="677"/>
      <c r="J456" s="18"/>
    </row>
    <row r="457" spans="2:10" ht="76.5">
      <c r="B457" s="624" t="s">
        <v>1384</v>
      </c>
      <c r="C457" s="625" t="s">
        <v>0</v>
      </c>
      <c r="D457" s="626">
        <v>14</v>
      </c>
      <c r="E457" s="627" t="str">
        <f>DEC2HEX(((D457)*2^8),8)</f>
        <v>00000E00</v>
      </c>
      <c r="F457" s="628" t="s">
        <v>1385</v>
      </c>
      <c r="G457" s="671"/>
      <c r="H457" s="674"/>
      <c r="I457" s="677"/>
      <c r="J457" s="18"/>
    </row>
    <row r="458" spans="2:10" ht="77.25" thickBot="1">
      <c r="B458" s="136" t="s">
        <v>1383</v>
      </c>
      <c r="C458" s="92" t="s">
        <v>0</v>
      </c>
      <c r="D458" s="63">
        <v>7</v>
      </c>
      <c r="E458" s="141" t="str">
        <f>DEC2HEX(((D458)*2^0),8)</f>
        <v>00000007</v>
      </c>
      <c r="F458" s="393" t="s">
        <v>959</v>
      </c>
      <c r="G458" s="672"/>
      <c r="H458" s="675"/>
      <c r="I458" s="678"/>
      <c r="J458" s="18"/>
    </row>
    <row r="459" spans="2:10" ht="13.5" thickBot="1">
      <c r="B459" s="74"/>
      <c r="C459" s="98"/>
      <c r="D459" s="75"/>
      <c r="E459" s="106"/>
      <c r="F459" s="394"/>
      <c r="G459" s="461"/>
      <c r="H459" s="188"/>
      <c r="I459" s="188"/>
      <c r="J459" s="18"/>
    </row>
    <row r="460" spans="2:10" ht="25.5">
      <c r="B460" s="120" t="s">
        <v>1387</v>
      </c>
      <c r="C460" s="88" t="s">
        <v>0</v>
      </c>
      <c r="D460" s="56">
        <v>200</v>
      </c>
      <c r="E460" s="622" t="str">
        <f>DEC2HEX(((D460)*2^16),8)</f>
        <v>00C80000</v>
      </c>
      <c r="F460" s="391" t="s">
        <v>1388</v>
      </c>
      <c r="G460" s="670" t="s">
        <v>880</v>
      </c>
      <c r="H460" s="673" t="str">
        <f>"0x"&amp;DEC2HEX((HEX2DEC(C38)+1184), 8)</f>
        <v>0x3D4004A0</v>
      </c>
      <c r="I460" s="676" t="str">
        <f>"0x"&amp;DEC2HEX(HEX2DEC(E460)+(HEX2DEC(E461)), 8)</f>
        <v>0x00C8012C</v>
      </c>
    </row>
    <row r="461" spans="2:10" ht="26.25" thickBot="1">
      <c r="B461" s="633" t="s">
        <v>1386</v>
      </c>
      <c r="C461" s="634" t="s">
        <v>0</v>
      </c>
      <c r="D461" s="635">
        <v>300</v>
      </c>
      <c r="E461" s="636" t="str">
        <f>DEC2HEX(((D461)*2^0),8)</f>
        <v>0000012C</v>
      </c>
      <c r="F461" s="637" t="s">
        <v>1389</v>
      </c>
      <c r="G461" s="672"/>
      <c r="H461" s="675"/>
      <c r="I461" s="678"/>
    </row>
    <row r="462" spans="2:10" ht="13.5" thickBot="1">
      <c r="B462" s="74"/>
      <c r="C462" s="98"/>
      <c r="D462" s="75"/>
      <c r="E462" s="106"/>
      <c r="F462" s="394"/>
      <c r="G462" s="372"/>
      <c r="H462" s="188"/>
      <c r="I462" s="188"/>
    </row>
    <row r="463" spans="2:10" ht="89.25">
      <c r="B463" s="380" t="s">
        <v>458</v>
      </c>
      <c r="C463" s="88" t="s">
        <v>0</v>
      </c>
      <c r="D463" s="379">
        <v>0</v>
      </c>
      <c r="E463" s="379" t="str">
        <f>DEC2HEX(((D463)*2^31),8)</f>
        <v>00000000</v>
      </c>
      <c r="F463" s="382" t="s">
        <v>467</v>
      </c>
      <c r="G463" s="826" t="s">
        <v>478</v>
      </c>
      <c r="H463" s="658" t="str">
        <f>"0x"&amp;DEC2HEX((HEX2DEC(C38)+16), 8)</f>
        <v>0x3D400010</v>
      </c>
      <c r="I463" s="711" t="str">
        <f>"0x"&amp;DEC2HEX((HEX2DEC(E463)+HEX2DEC(E464)+HEX2DEC(E465)+HEX2DEC(E466)+HEX2DEC(E467)+HEX2DEC(E468)+HEX2DEC(E469)+HEX2DEC(E470)+HEX2DEC(E471)), 8)</f>
        <v>0x40007030</v>
      </c>
    </row>
    <row r="464" spans="2:10" ht="102">
      <c r="B464" s="383" t="s">
        <v>459</v>
      </c>
      <c r="C464" s="89" t="s">
        <v>0</v>
      </c>
      <c r="D464" s="292">
        <v>1</v>
      </c>
      <c r="E464" s="292" t="str">
        <f>DEC2HEX(((D464)*2^30),8)</f>
        <v>40000000</v>
      </c>
      <c r="F464" s="182" t="s">
        <v>468</v>
      </c>
      <c r="G464" s="827"/>
      <c r="H464" s="693"/>
      <c r="I464" s="694"/>
    </row>
    <row r="465" spans="2:10" ht="63.75">
      <c r="B465" s="383" t="s">
        <v>460</v>
      </c>
      <c r="C465" s="89" t="s">
        <v>0</v>
      </c>
      <c r="D465" s="292">
        <v>0</v>
      </c>
      <c r="E465" s="292" t="str">
        <f>DEC2HEX(((D465)*2^16),8)</f>
        <v>00000000</v>
      </c>
      <c r="F465" s="182" t="s">
        <v>469</v>
      </c>
      <c r="G465" s="827"/>
      <c r="H465" s="693"/>
      <c r="I465" s="694"/>
    </row>
    <row r="466" spans="2:10" ht="255">
      <c r="B466" s="383" t="s">
        <v>461</v>
      </c>
      <c r="C466" s="89" t="s">
        <v>0</v>
      </c>
      <c r="D466" s="292">
        <v>7</v>
      </c>
      <c r="E466" s="292" t="str">
        <f>DEC2HEX(((D466)*2^12),8)</f>
        <v>00007000</v>
      </c>
      <c r="F466" s="182" t="s">
        <v>470</v>
      </c>
      <c r="G466" s="827"/>
      <c r="H466" s="693"/>
      <c r="I466" s="694"/>
    </row>
    <row r="467" spans="2:10" ht="153">
      <c r="B467" s="383" t="s">
        <v>462</v>
      </c>
      <c r="C467" s="89" t="s">
        <v>0</v>
      </c>
      <c r="D467" s="292">
        <v>3</v>
      </c>
      <c r="E467" s="292" t="str">
        <f>DEC2HEX(((D467)*2^4),8)</f>
        <v>00000030</v>
      </c>
      <c r="F467" s="182" t="s">
        <v>471</v>
      </c>
      <c r="G467" s="827"/>
      <c r="H467" s="693"/>
      <c r="I467" s="694"/>
    </row>
    <row r="468" spans="2:10" ht="178.5">
      <c r="B468" s="383" t="s">
        <v>463</v>
      </c>
      <c r="C468" s="89" t="s">
        <v>0</v>
      </c>
      <c r="D468" s="292">
        <v>0</v>
      </c>
      <c r="E468" s="292" t="str">
        <f>DEC2HEX(((D468)*2^3),8)</f>
        <v>00000000</v>
      </c>
      <c r="F468" s="182" t="s">
        <v>472</v>
      </c>
      <c r="G468" s="827"/>
      <c r="H468" s="693"/>
      <c r="I468" s="694"/>
    </row>
    <row r="469" spans="2:10" ht="89.25">
      <c r="B469" s="383" t="s">
        <v>464</v>
      </c>
      <c r="C469" s="89" t="s">
        <v>0</v>
      </c>
      <c r="D469" s="292">
        <v>0</v>
      </c>
      <c r="E469" s="292" t="str">
        <f>DEC2HEX(((D469)*2^2),8)</f>
        <v>00000000</v>
      </c>
      <c r="F469" s="182" t="s">
        <v>473</v>
      </c>
      <c r="G469" s="827"/>
      <c r="H469" s="693"/>
      <c r="I469" s="694"/>
    </row>
    <row r="470" spans="2:10" ht="63.75">
      <c r="B470" s="383" t="s">
        <v>465</v>
      </c>
      <c r="C470" s="89" t="s">
        <v>0</v>
      </c>
      <c r="D470" s="292">
        <v>0</v>
      </c>
      <c r="E470" s="292" t="str">
        <f>DEC2HEX(((D470)*2^1),8)</f>
        <v>00000000</v>
      </c>
      <c r="F470" s="182" t="s">
        <v>474</v>
      </c>
      <c r="G470" s="827"/>
      <c r="H470" s="693"/>
      <c r="I470" s="694"/>
    </row>
    <row r="471" spans="2:10" ht="64.5" thickBot="1">
      <c r="B471" s="384" t="s">
        <v>466</v>
      </c>
      <c r="C471" s="92" t="s">
        <v>0</v>
      </c>
      <c r="D471" s="293">
        <v>0</v>
      </c>
      <c r="E471" s="293" t="str">
        <f>DEC2HEX(((D471)*2^0),8)</f>
        <v>00000000</v>
      </c>
      <c r="F471" s="386" t="s">
        <v>475</v>
      </c>
      <c r="G471" s="828"/>
      <c r="H471" s="659"/>
      <c r="I471" s="661"/>
    </row>
    <row r="472" spans="2:10" ht="13.5" thickBot="1"/>
    <row r="473" spans="2:10" ht="102.75" thickBot="1">
      <c r="B473" s="397" t="s">
        <v>476</v>
      </c>
      <c r="C473" s="368" t="s">
        <v>0</v>
      </c>
      <c r="D473" s="76">
        <v>108425</v>
      </c>
      <c r="E473" s="76" t="str">
        <f>DEC2HEX(((D473)*2^0),8)</f>
        <v>0001A789</v>
      </c>
      <c r="F473" s="398" t="s">
        <v>477</v>
      </c>
      <c r="G473" s="85" t="s">
        <v>479</v>
      </c>
      <c r="H473" s="76" t="str">
        <f>"0x"&amp;DEC2HEX((HEX2DEC(C38)+20), 8)</f>
        <v>0x3D400014</v>
      </c>
      <c r="I473" s="77" t="str">
        <f>"0x"&amp;DEC2HEX((HEX2DEC(E473)), 8)</f>
        <v>0x0001A789</v>
      </c>
    </row>
    <row r="474" spans="2:10" ht="13.5" thickBot="1">
      <c r="J474" s="79"/>
    </row>
    <row r="475" spans="2:10" ht="102.75" thickBot="1">
      <c r="B475" s="399" t="s">
        <v>480</v>
      </c>
      <c r="C475" s="368" t="s">
        <v>0</v>
      </c>
      <c r="D475" s="76">
        <v>3105299232</v>
      </c>
      <c r="E475" s="76" t="str">
        <f>DEC2HEX(((D475)*2^0),8)</f>
        <v>B9171B20</v>
      </c>
      <c r="F475" s="398" t="s">
        <v>482</v>
      </c>
      <c r="G475" s="85" t="s">
        <v>481</v>
      </c>
      <c r="H475" s="76" t="str">
        <f>"0x"&amp;DEC2HEX((HEX2DEC(C38)+28), 8)</f>
        <v>0x3D40001C</v>
      </c>
      <c r="I475" s="77" t="str">
        <f>"0x"&amp;DEC2HEX((HEX2DEC(E475)), 8)</f>
        <v>0xB9171B20</v>
      </c>
      <c r="J475" s="79"/>
    </row>
    <row r="476" spans="2:10" ht="13.5" thickBot="1">
      <c r="J476" s="79"/>
    </row>
    <row r="477" spans="2:10" ht="76.5">
      <c r="B477" s="57" t="s">
        <v>483</v>
      </c>
      <c r="C477" s="88" t="s">
        <v>0</v>
      </c>
      <c r="D477" s="56">
        <v>0</v>
      </c>
      <c r="E477" s="271" t="str">
        <f>DEC2HEX(((D477)*2^8),8)</f>
        <v>00000000</v>
      </c>
      <c r="F477" s="33" t="s">
        <v>484</v>
      </c>
      <c r="G477" s="710" t="s">
        <v>485</v>
      </c>
      <c r="H477" s="658" t="str">
        <f>"0x"&amp;DEC2HEX((HEX2DEC(C38)+48), 8)</f>
        <v>0x3D400030</v>
      </c>
      <c r="I477" s="711" t="str">
        <f>"0x"&amp;DEC2HEX((HEX2DEC(E477)+HEX2DEC(E478)+HEX2DEC(E479)+HEX2DEC(E480)+HEX2DEC(E481)+HEX2DEC(E482)+HEX2DEC(E483)+HEX2DEC(E484)+HEX2DEC(E485)), 8)</f>
        <v>0x000000AA</v>
      </c>
      <c r="J477" s="79"/>
    </row>
    <row r="478" spans="2:10" ht="76.5">
      <c r="B478" s="58" t="s">
        <v>486</v>
      </c>
      <c r="C478" s="89" t="s">
        <v>0</v>
      </c>
      <c r="D478" s="119">
        <v>1</v>
      </c>
      <c r="E478" s="272" t="str">
        <f>DEC2HEX(((D478)*2^7),8)</f>
        <v>00000080</v>
      </c>
      <c r="F478" s="17" t="s">
        <v>487</v>
      </c>
      <c r="G478" s="693"/>
      <c r="H478" s="693"/>
      <c r="I478" s="694"/>
      <c r="J478" s="79"/>
    </row>
    <row r="479" spans="2:10" ht="76.5">
      <c r="B479" s="58" t="s">
        <v>488</v>
      </c>
      <c r="C479" s="89" t="s">
        <v>0</v>
      </c>
      <c r="D479" s="119">
        <v>0</v>
      </c>
      <c r="E479" s="272" t="str">
        <f>DEC2HEX(((D479)*2^6),8)</f>
        <v>00000000</v>
      </c>
      <c r="F479" s="17" t="s">
        <v>489</v>
      </c>
      <c r="G479" s="693"/>
      <c r="H479" s="693"/>
      <c r="I479" s="694"/>
      <c r="J479" s="79"/>
    </row>
    <row r="480" spans="2:10" ht="89.25">
      <c r="B480" s="58" t="s">
        <v>490</v>
      </c>
      <c r="C480" s="89" t="s">
        <v>0</v>
      </c>
      <c r="D480" s="119">
        <v>1</v>
      </c>
      <c r="E480" s="272" t="str">
        <f>DEC2HEX(((D480)*2^5),8)</f>
        <v>00000020</v>
      </c>
      <c r="F480" s="17" t="s">
        <v>491</v>
      </c>
      <c r="G480" s="693"/>
      <c r="H480" s="693"/>
      <c r="I480" s="694"/>
      <c r="J480" s="79"/>
    </row>
    <row r="481" spans="1:11" ht="140.25">
      <c r="B481" s="58" t="s">
        <v>492</v>
      </c>
      <c r="C481" s="89" t="s">
        <v>0</v>
      </c>
      <c r="D481" s="119">
        <v>0</v>
      </c>
      <c r="E481" s="272" t="str">
        <f>DEC2HEX(((D481)*2^4),8)</f>
        <v>00000000</v>
      </c>
      <c r="F481" s="17" t="s">
        <v>493</v>
      </c>
      <c r="G481" s="693"/>
      <c r="H481" s="693"/>
      <c r="I481" s="694"/>
      <c r="J481" s="79"/>
    </row>
    <row r="482" spans="1:11" ht="229.5">
      <c r="B482" s="58" t="s">
        <v>494</v>
      </c>
      <c r="C482" s="89" t="s">
        <v>0</v>
      </c>
      <c r="D482" s="119">
        <v>1</v>
      </c>
      <c r="E482" s="272" t="str">
        <f>DEC2HEX(((D482)*2^3),8)</f>
        <v>00000008</v>
      </c>
      <c r="F482" s="17" t="s">
        <v>495</v>
      </c>
      <c r="G482" s="693"/>
      <c r="H482" s="693"/>
      <c r="I482" s="694"/>
      <c r="J482" s="79"/>
    </row>
    <row r="483" spans="1:11" ht="127.5">
      <c r="B483" s="58" t="s">
        <v>496</v>
      </c>
      <c r="C483" s="89" t="s">
        <v>0</v>
      </c>
      <c r="D483" s="119">
        <v>0</v>
      </c>
      <c r="E483" s="272" t="str">
        <f>DEC2HEX(((D483)*2^2),8)</f>
        <v>00000000</v>
      </c>
      <c r="F483" s="17" t="s">
        <v>497</v>
      </c>
      <c r="G483" s="693"/>
      <c r="H483" s="693"/>
      <c r="I483" s="694"/>
    </row>
    <row r="484" spans="1:11" ht="76.5">
      <c r="B484" s="58" t="s">
        <v>498</v>
      </c>
      <c r="C484" s="89" t="s">
        <v>0</v>
      </c>
      <c r="D484" s="119">
        <v>1</v>
      </c>
      <c r="E484" s="272" t="str">
        <f>DEC2HEX(((D484)*2^1),8)</f>
        <v>00000002</v>
      </c>
      <c r="F484" s="17" t="s">
        <v>499</v>
      </c>
      <c r="G484" s="693"/>
      <c r="H484" s="693"/>
      <c r="I484" s="694"/>
    </row>
    <row r="485" spans="1:11" ht="64.5" thickBot="1">
      <c r="B485" s="59" t="s">
        <v>500</v>
      </c>
      <c r="C485" s="92" t="s">
        <v>0</v>
      </c>
      <c r="D485" s="63">
        <v>0</v>
      </c>
      <c r="E485" s="273" t="str">
        <f>DEC2HEX(((D485)*2^0),8)</f>
        <v>00000000</v>
      </c>
      <c r="F485" s="34" t="s">
        <v>501</v>
      </c>
      <c r="G485" s="659"/>
      <c r="H485" s="659"/>
      <c r="I485" s="661"/>
    </row>
    <row r="486" spans="1:11" ht="13.5" thickBot="1"/>
    <row r="487" spans="1:11" ht="102">
      <c r="B487" s="380" t="s">
        <v>505</v>
      </c>
      <c r="C487" s="381" t="s">
        <v>0</v>
      </c>
      <c r="D487" s="379">
        <v>34</v>
      </c>
      <c r="E487" s="294" t="str">
        <f>DEC2HEX(((D487)*2^16),8)</f>
        <v>00220000</v>
      </c>
      <c r="F487" s="382" t="s">
        <v>513</v>
      </c>
      <c r="G487" s="710" t="s">
        <v>502</v>
      </c>
      <c r="H487" s="658" t="str">
        <f>"0x"&amp;DEC2HEX((HEX2DEC(C38)+52), 8)</f>
        <v>0x3D400034</v>
      </c>
      <c r="I487" s="711" t="str">
        <f>"0x"&amp;DEC2HEX((HEX2DEC(E487)+HEX2DEC(E488)+HEX2DEC(E489)), 8)</f>
        <v>0x00221306</v>
      </c>
    </row>
    <row r="488" spans="1:11" ht="127.5">
      <c r="B488" s="383" t="s">
        <v>504</v>
      </c>
      <c r="C488" s="183" t="s">
        <v>0</v>
      </c>
      <c r="D488" s="292">
        <v>19</v>
      </c>
      <c r="E488" s="295" t="str">
        <f>DEC2HEX(((D488)*2^8),8)</f>
        <v>00001300</v>
      </c>
      <c r="F488" s="182" t="s">
        <v>514</v>
      </c>
      <c r="G488" s="693"/>
      <c r="H488" s="693"/>
      <c r="I488" s="694"/>
    </row>
    <row r="489" spans="1:11" ht="102.75" thickBot="1">
      <c r="B489" s="384" t="s">
        <v>503</v>
      </c>
      <c r="C489" s="385" t="s">
        <v>0</v>
      </c>
      <c r="D489" s="293">
        <v>6</v>
      </c>
      <c r="E489" s="296" t="str">
        <f>DEC2HEX(((D489)*2^0),8)</f>
        <v>00000006</v>
      </c>
      <c r="F489" s="386" t="s">
        <v>515</v>
      </c>
      <c r="G489" s="659"/>
      <c r="H489" s="659"/>
      <c r="I489" s="661"/>
    </row>
    <row r="490" spans="1:11" ht="13.5" thickBot="1"/>
    <row r="491" spans="1:11" ht="51">
      <c r="B491" s="380" t="s">
        <v>517</v>
      </c>
      <c r="C491" s="381" t="s">
        <v>0</v>
      </c>
      <c r="D491" s="379">
        <v>0</v>
      </c>
      <c r="E491" s="294" t="str">
        <f>DEC2HEX(((D491)*2^6),8)</f>
        <v>00000000</v>
      </c>
      <c r="F491" s="382" t="s">
        <v>521</v>
      </c>
      <c r="G491" s="710" t="s">
        <v>516</v>
      </c>
      <c r="H491" s="658" t="str">
        <f>"0x"&amp;DEC2HEX((HEX2DEC(C38)+60), 8)</f>
        <v>0x3D40003C</v>
      </c>
      <c r="I491" s="711" t="str">
        <f>"0x"&amp;DEC2HEX((HEX2DEC(E491)+HEX2DEC(E492)+HEX2DEC(E493)+HEX2DEC(E494)), 8)</f>
        <v>0x00000030</v>
      </c>
    </row>
    <row r="492" spans="1:11" ht="51">
      <c r="B492" s="383" t="s">
        <v>518</v>
      </c>
      <c r="C492" s="183" t="s">
        <v>0</v>
      </c>
      <c r="D492" s="292">
        <v>1</v>
      </c>
      <c r="E492" s="295" t="str">
        <f>DEC2HEX(((D492)*2^5),8)</f>
        <v>00000020</v>
      </c>
      <c r="F492" s="182" t="s">
        <v>522</v>
      </c>
      <c r="G492" s="824"/>
      <c r="H492" s="693"/>
      <c r="I492" s="694"/>
    </row>
    <row r="493" spans="1:11" ht="51">
      <c r="A493" s="414"/>
      <c r="B493" s="383" t="s">
        <v>519</v>
      </c>
      <c r="C493" s="183" t="s">
        <v>0</v>
      </c>
      <c r="D493" s="292">
        <v>1</v>
      </c>
      <c r="E493" s="295" t="str">
        <f>DEC2HEX(((D493)*2^4),8)</f>
        <v>00000010</v>
      </c>
      <c r="F493" s="182" t="s">
        <v>523</v>
      </c>
      <c r="G493" s="824"/>
      <c r="H493" s="693"/>
      <c r="I493" s="694"/>
    </row>
    <row r="494" spans="1:11" ht="90" thickBot="1">
      <c r="A494" s="414"/>
      <c r="B494" s="384" t="s">
        <v>520</v>
      </c>
      <c r="C494" s="385" t="s">
        <v>0</v>
      </c>
      <c r="D494" s="293">
        <v>0</v>
      </c>
      <c r="E494" s="296" t="str">
        <f>DEC2HEX(((D494)*2^0),8)</f>
        <v>00000000</v>
      </c>
      <c r="F494" s="386" t="s">
        <v>524</v>
      </c>
      <c r="G494" s="825"/>
      <c r="H494" s="659"/>
      <c r="I494" s="661"/>
      <c r="J494" s="18"/>
    </row>
    <row r="495" spans="1:11" ht="13.5" thickBot="1">
      <c r="A495" s="414"/>
      <c r="J495" s="79"/>
      <c r="K495" s="25"/>
    </row>
    <row r="496" spans="1:11" ht="15.75" thickBot="1">
      <c r="A496" s="414"/>
      <c r="B496" s="698" t="s">
        <v>1120</v>
      </c>
      <c r="C496" s="699"/>
      <c r="D496" s="699"/>
      <c r="E496" s="699"/>
      <c r="F496" s="699"/>
      <c r="G496" s="699"/>
      <c r="H496" s="699"/>
      <c r="I496" s="700"/>
      <c r="J496" s="18"/>
      <c r="K496" s="25"/>
    </row>
    <row r="497" spans="1:11" ht="13.5" thickBot="1">
      <c r="A497" s="414"/>
      <c r="B497" s="415"/>
      <c r="C497" s="416"/>
      <c r="D497" s="417"/>
      <c r="E497" s="418"/>
      <c r="F497" s="419"/>
      <c r="G497" s="420"/>
      <c r="H497" s="421"/>
      <c r="I497" s="421"/>
      <c r="J497" s="18"/>
      <c r="K497" s="25"/>
    </row>
    <row r="498" spans="1:11" ht="15">
      <c r="A498" s="414"/>
      <c r="B498" s="57" t="s">
        <v>168</v>
      </c>
      <c r="C498" s="87">
        <f>ROUNDUP(15/C35, 0)</f>
        <v>11</v>
      </c>
      <c r="D498" s="422">
        <f>ROUNDUP((C507+D52+C498)/2,0)</f>
        <v>12</v>
      </c>
      <c r="E498" s="427" t="str">
        <f>DEC2HEX(((D498)*2^24),8)</f>
        <v>0C000000</v>
      </c>
      <c r="F498" s="125" t="s">
        <v>1121</v>
      </c>
      <c r="G498" s="688" t="s">
        <v>1122</v>
      </c>
      <c r="H498" s="688" t="str">
        <f>"0x"&amp;DEC2HEX((HEX2DEC(C39)+256), 8)</f>
        <v>0x3D402100</v>
      </c>
      <c r="I498" s="660" t="str">
        <f>"0x"&amp;DEC2HEX((HEX2DEC(E498)+HEX2DEC(E499)+HEX2DEC(E500)+HEX2DEC(E501)), 8)</f>
        <v>0x0C0B160B</v>
      </c>
      <c r="J498" s="18"/>
    </row>
    <row r="499" spans="1:11" ht="11.25" customHeight="1">
      <c r="A499" s="414"/>
      <c r="B499" s="423" t="s">
        <v>169</v>
      </c>
      <c r="C499" s="190">
        <f>IF(C30=16,30,(IF(C30=8,21,13)))</f>
        <v>30</v>
      </c>
      <c r="D499" s="145">
        <f>ROUNDUP(((C499/C35)/2),0)</f>
        <v>11</v>
      </c>
      <c r="E499" s="435" t="str">
        <f>DEC2HEX(((D499)*2^16),8)</f>
        <v>000B0000</v>
      </c>
      <c r="F499" s="424" t="s">
        <v>1121</v>
      </c>
      <c r="G499" s="689"/>
      <c r="H499" s="689"/>
      <c r="I499" s="691"/>
      <c r="J499" s="18"/>
    </row>
    <row r="500" spans="1:11" ht="15">
      <c r="A500" s="414"/>
      <c r="B500" s="58" t="s">
        <v>170</v>
      </c>
      <c r="C500" s="190">
        <f>(9*C137)</f>
        <v>70200</v>
      </c>
      <c r="D500" s="433">
        <f>ROUNDDOWN(((C500/C35 - 1)/2/1024),0)</f>
        <v>22</v>
      </c>
      <c r="E500" s="429" t="str">
        <f>DEC2HEX(((D500)*2^8),8)</f>
        <v>00001600</v>
      </c>
      <c r="F500" s="124" t="s">
        <v>1121</v>
      </c>
      <c r="G500" s="693"/>
      <c r="H500" s="693"/>
      <c r="I500" s="694"/>
      <c r="J500" s="18"/>
    </row>
    <row r="501" spans="1:11" ht="15.75" thickBot="1">
      <c r="A501" s="414"/>
      <c r="B501" s="136" t="s">
        <v>171</v>
      </c>
      <c r="C501" s="151">
        <f>C192</f>
        <v>32</v>
      </c>
      <c r="D501" s="348">
        <f>ROUNDUP(((C501/C35)/2),0)</f>
        <v>11</v>
      </c>
      <c r="E501" s="141" t="str">
        <f>DEC2HEX(((D501)*2^0),8)</f>
        <v>0000000B</v>
      </c>
      <c r="F501" s="144" t="s">
        <v>1121</v>
      </c>
      <c r="G501" s="659"/>
      <c r="H501" s="659"/>
      <c r="I501" s="661"/>
      <c r="J501" s="93"/>
    </row>
    <row r="502" spans="1:11" ht="15.75" thickBot="1">
      <c r="A502" s="414"/>
      <c r="B502" s="74"/>
      <c r="C502" s="111"/>
      <c r="D502" s="111"/>
      <c r="E502" s="106"/>
      <c r="F502" s="247"/>
      <c r="G502" s="78"/>
      <c r="H502" s="78"/>
      <c r="I502" s="78"/>
      <c r="J502" s="18"/>
    </row>
    <row r="503" spans="1:11" ht="15">
      <c r="A503" s="414"/>
      <c r="B503" s="57" t="s">
        <v>94</v>
      </c>
      <c r="C503" s="87">
        <f>MAX(4,6/C35)</f>
        <v>4.008</v>
      </c>
      <c r="D503" s="110">
        <f>ROUNDUP(((C503)+(IF(C34&lt;1200, 4, 5)*D156))/2, 0)</f>
        <v>3</v>
      </c>
      <c r="E503" s="427" t="str">
        <f>DEC2HEX(((D503)*2^16),8)</f>
        <v>00030000</v>
      </c>
      <c r="F503" s="129" t="s">
        <v>1121</v>
      </c>
      <c r="G503" s="665" t="s">
        <v>1123</v>
      </c>
      <c r="H503" s="665" t="str">
        <f>"0x"&amp;DEC2HEX((HEX2DEC(C39)+260), 8)</f>
        <v>0x3D402104</v>
      </c>
      <c r="I503" s="713" t="str">
        <f>"0x"&amp;DEC2HEX((HEX2DEC(E503)+HEX2DEC(E504)+HEX2DEC(E505)), 8)</f>
        <v>0x00030310</v>
      </c>
      <c r="J503" s="18"/>
    </row>
    <row r="504" spans="1:11" ht="15">
      <c r="A504" s="414"/>
      <c r="B504" s="58" t="s">
        <v>95</v>
      </c>
      <c r="C504" s="145">
        <f>MAX(4, 7.5/C35)</f>
        <v>5.01</v>
      </c>
      <c r="D504" s="145">
        <f>ROUNDUP((C504)/2,0)</f>
        <v>3</v>
      </c>
      <c r="E504" s="429" t="str">
        <f>DEC2HEX(((D504)*2^8),8)</f>
        <v>00000300</v>
      </c>
      <c r="F504" s="445" t="s">
        <v>1121</v>
      </c>
      <c r="G504" s="712"/>
      <c r="H504" s="712"/>
      <c r="I504" s="714"/>
      <c r="J504" s="79"/>
    </row>
    <row r="505" spans="1:11" ht="15.75" thickBot="1">
      <c r="A505" s="414"/>
      <c r="B505" s="59" t="s">
        <v>230</v>
      </c>
      <c r="C505" s="151">
        <f>C196</f>
        <v>13.75</v>
      </c>
      <c r="D505" s="112">
        <f>ROUNDUP(((C505+C501)*C34/1000)/2, 0)</f>
        <v>16</v>
      </c>
      <c r="E505" s="428" t="str">
        <f>DEC2HEX(((D505)*2^0),8)</f>
        <v>00000010</v>
      </c>
      <c r="F505" s="130" t="s">
        <v>1121</v>
      </c>
      <c r="G505" s="704"/>
      <c r="H505" s="704"/>
      <c r="I505" s="715"/>
      <c r="J505" s="79"/>
    </row>
    <row r="506" spans="1:11" ht="13.5" thickBot="1">
      <c r="A506" s="414"/>
      <c r="B506" s="74"/>
      <c r="C506" s="98"/>
      <c r="D506" s="75"/>
      <c r="E506" s="106"/>
      <c r="F506" s="187"/>
      <c r="G506" s="372"/>
      <c r="H506" s="188"/>
      <c r="I506" s="188"/>
      <c r="J506" s="186"/>
    </row>
    <row r="507" spans="1:11" ht="15">
      <c r="A507" s="414"/>
      <c r="B507" s="57" t="s">
        <v>92</v>
      </c>
      <c r="C507" s="64">
        <v>9</v>
      </c>
      <c r="D507" s="110">
        <f>ROUNDUP((C507/2), 0)</f>
        <v>5</v>
      </c>
      <c r="E507" s="306" t="str">
        <f>DEC2HEX(((D507)*2^24),8)</f>
        <v>05000000</v>
      </c>
      <c r="F507" s="129" t="s">
        <v>1121</v>
      </c>
      <c r="G507" s="688" t="s">
        <v>1124</v>
      </c>
      <c r="H507" s="688" t="str">
        <f>"0x"&amp;DEC2HEX((HEX2DEC(C39)+264), 8)</f>
        <v>0x3D402108</v>
      </c>
      <c r="I507" s="695" t="str">
        <f>"0x"&amp;DEC2HEX((HEX2DEC(E507)+HEX2DEC(E508)+HEX2DEC(E509)+HEX2DEC(E510)), 8)</f>
        <v>0x0505030A</v>
      </c>
      <c r="J507" s="186"/>
      <c r="K507" s="25"/>
    </row>
    <row r="508" spans="1:11" ht="15">
      <c r="A508" s="414"/>
      <c r="B508" s="423" t="s">
        <v>93</v>
      </c>
      <c r="C508" s="60">
        <v>10</v>
      </c>
      <c r="D508" s="145">
        <f>ROUNDUP((C508/2), 0)</f>
        <v>5</v>
      </c>
      <c r="E508" s="305" t="str">
        <f>DEC2HEX(((D508)*2^16),8)</f>
        <v>00050000</v>
      </c>
      <c r="F508" s="403" t="s">
        <v>1121</v>
      </c>
      <c r="G508" s="689"/>
      <c r="H508" s="689"/>
      <c r="I508" s="716"/>
      <c r="J508" s="18"/>
    </row>
    <row r="509" spans="1:11" ht="15">
      <c r="A509" s="414"/>
      <c r="B509" s="58" t="s">
        <v>91</v>
      </c>
      <c r="C509" s="345">
        <f>(D313+1)</f>
        <v>1</v>
      </c>
      <c r="D509" s="80">
        <f>ROUNDUP((C508+D52+C509-C507)/2,0)</f>
        <v>3</v>
      </c>
      <c r="E509" s="140" t="str">
        <f>DEC2HEX(((D509)*2^8),8)</f>
        <v>00000300</v>
      </c>
      <c r="F509" s="403" t="s">
        <v>1121</v>
      </c>
      <c r="G509" s="693"/>
      <c r="H509" s="693"/>
      <c r="I509" s="696"/>
      <c r="J509" s="18"/>
    </row>
    <row r="510" spans="1:11" ht="15.75" thickBot="1">
      <c r="A510" s="414"/>
      <c r="B510" s="94" t="s">
        <v>90</v>
      </c>
      <c r="C510" s="151">
        <f>MAX(4, 7.5/C35)</f>
        <v>5.01</v>
      </c>
      <c r="D510" s="151">
        <f>ROUNDUP((C507+D52+C510)/2, 0)</f>
        <v>10</v>
      </c>
      <c r="E510" s="303" t="str">
        <f>DEC2HEX(((D510)*2^0),8)</f>
        <v>0000000A</v>
      </c>
      <c r="F510" s="130" t="s">
        <v>1121</v>
      </c>
      <c r="G510" s="659"/>
      <c r="H510" s="659"/>
      <c r="I510" s="697"/>
      <c r="J510" s="18"/>
    </row>
    <row r="511" spans="1:11" ht="13.5" thickBot="1">
      <c r="A511" s="414"/>
      <c r="B511" s="74"/>
      <c r="C511" s="98"/>
      <c r="D511" s="75"/>
      <c r="E511" s="106"/>
      <c r="F511" s="187"/>
      <c r="G511" s="372"/>
      <c r="H511" s="188"/>
      <c r="I511" s="188"/>
      <c r="J511" s="181"/>
    </row>
    <row r="512" spans="1:11" ht="15">
      <c r="A512" s="414"/>
      <c r="B512" s="57" t="s">
        <v>96</v>
      </c>
      <c r="C512" s="64">
        <v>0</v>
      </c>
      <c r="D512" s="110">
        <f>ROUNDUP((C512/C35)/2, 0)</f>
        <v>0</v>
      </c>
      <c r="E512" s="306" t="str">
        <f>DEC2HEX(((D512)*2^20),8)</f>
        <v>00000000</v>
      </c>
      <c r="F512" s="129" t="s">
        <v>1121</v>
      </c>
      <c r="G512" s="688" t="s">
        <v>1125</v>
      </c>
      <c r="H512" s="688" t="str">
        <f>"0x"&amp;DEC2HEX((HEX2DEC(C39)+268), 8)</f>
        <v>0x3D40210C</v>
      </c>
      <c r="I512" s="660" t="str">
        <f>"0x"&amp;DEC2HEX((HEX2DEC(E512)+HEX2DEC(E513)+HEX2DEC(E514)), 8)</f>
        <v>0x0000400C</v>
      </c>
      <c r="J512" s="18"/>
    </row>
    <row r="513" spans="1:10" ht="15">
      <c r="A513" s="414"/>
      <c r="B513" s="121" t="s">
        <v>97</v>
      </c>
      <c r="C513" s="60">
        <v>8</v>
      </c>
      <c r="D513" s="145">
        <f>IF(D156=1, ROUNDUP( (MAX(24, 15/C35) + IF(C34&lt;1200, 4, 5))/2,0), ROUNDUP((C513)/2, 0))</f>
        <v>4</v>
      </c>
      <c r="E513" s="307" t="str">
        <f>DEC2HEX(((D513)*2^12),8)</f>
        <v>00004000</v>
      </c>
      <c r="F513" s="403" t="s">
        <v>1121</v>
      </c>
      <c r="G513" s="693"/>
      <c r="H513" s="693"/>
      <c r="I513" s="694"/>
      <c r="J513" s="18"/>
    </row>
    <row r="514" spans="1:10" ht="15.75" thickBot="1">
      <c r="A514" s="414"/>
      <c r="B514" s="136" t="s">
        <v>98</v>
      </c>
      <c r="C514" s="112">
        <f>IF(C34&lt;1200, 4, 5)*D156 + MAX(24, 15/C35)</f>
        <v>24</v>
      </c>
      <c r="D514" s="112">
        <f>ROUNDUP((C514/2),0)</f>
        <v>12</v>
      </c>
      <c r="E514" s="308" t="str">
        <f>DEC2HEX(((D514)*2^0),8)</f>
        <v>0000000C</v>
      </c>
      <c r="F514" s="425" t="s">
        <v>1121</v>
      </c>
      <c r="G514" s="659"/>
      <c r="H514" s="659"/>
      <c r="I514" s="661"/>
      <c r="J514" s="18"/>
    </row>
    <row r="515" spans="1:10" ht="13.5" thickBot="1">
      <c r="A515" s="414"/>
      <c r="B515" s="74"/>
      <c r="C515" s="98"/>
      <c r="D515" s="75"/>
      <c r="E515" s="106"/>
      <c r="F515" s="187"/>
      <c r="G515" s="372"/>
      <c r="H515" s="188"/>
      <c r="I515" s="188"/>
      <c r="J515" s="18"/>
    </row>
    <row r="516" spans="1:10" ht="15">
      <c r="A516" s="414"/>
      <c r="B516" s="57" t="s">
        <v>109</v>
      </c>
      <c r="C516" s="87">
        <f>C209</f>
        <v>13.75</v>
      </c>
      <c r="D516" s="110">
        <f>ROUNDUP(((C516/C35)/2),0)</f>
        <v>5</v>
      </c>
      <c r="E516" s="427" t="str">
        <f>DEC2HEX(((D516)*2^24),8)</f>
        <v>05000000</v>
      </c>
      <c r="F516" s="129" t="s">
        <v>1121</v>
      </c>
      <c r="G516" s="688" t="s">
        <v>1126</v>
      </c>
      <c r="H516" s="688" t="str">
        <f>"0x"&amp;DEC2HEX((HEX2DEC(C39)+272), 8)</f>
        <v>0x3D402110</v>
      </c>
      <c r="I516" s="695" t="str">
        <f>"0x"&amp;DEC2HEX((HEX2DEC(E516)+HEX2DEC(E517)+HEX2DEC(E518)+HEX2DEC(E519)), 8)</f>
        <v>0x05030306</v>
      </c>
      <c r="J516" s="186"/>
    </row>
    <row r="517" spans="1:10" ht="13.5" customHeight="1">
      <c r="A517" s="414"/>
      <c r="B517" s="58" t="s">
        <v>110</v>
      </c>
      <c r="C517" s="145">
        <f>ROUNDUP(MAX(5, 5/C35), 0)</f>
        <v>5</v>
      </c>
      <c r="D517" s="145">
        <f>ROUNDUP(((C517)/2),0)</f>
        <v>3</v>
      </c>
      <c r="E517" s="429" t="str">
        <f>DEC2HEX(((D517)*2^16),8)</f>
        <v>00030000</v>
      </c>
      <c r="F517" s="445" t="s">
        <v>1121</v>
      </c>
      <c r="G517" s="693"/>
      <c r="H517" s="693"/>
      <c r="I517" s="696"/>
      <c r="J517" s="18"/>
    </row>
    <row r="518" spans="1:10" ht="15">
      <c r="A518" s="414"/>
      <c r="B518" s="72" t="s">
        <v>111</v>
      </c>
      <c r="C518" s="145">
        <f>ROUNDUP(MAX(4, IF(C30=16, 6.4/C35, 4.9/C35)), 0)</f>
        <v>5</v>
      </c>
      <c r="D518" s="145">
        <f>ROUNDUP(((C518)/2),0)</f>
        <v>3</v>
      </c>
      <c r="E518" s="429" t="str">
        <f>DEC2HEX(((D518)*2^8),8)</f>
        <v>00000300</v>
      </c>
      <c r="F518" s="445" t="s">
        <v>1121</v>
      </c>
      <c r="G518" s="693"/>
      <c r="H518" s="693"/>
      <c r="I518" s="696"/>
      <c r="J518" s="185"/>
    </row>
    <row r="519" spans="1:10" ht="15.75" thickBot="1">
      <c r="A519" s="414"/>
      <c r="B519" s="59" t="s">
        <v>112</v>
      </c>
      <c r="C519" s="151">
        <f>C212</f>
        <v>13.75</v>
      </c>
      <c r="D519" s="112">
        <f>ROUNDDOWN(ROUNDUP(((C519/C35)),0)/2, 0) + 1</f>
        <v>6</v>
      </c>
      <c r="E519" s="141" t="str">
        <f>DEC2HEX(((D519)*2^0),8)</f>
        <v>00000006</v>
      </c>
      <c r="F519" s="130" t="s">
        <v>1121</v>
      </c>
      <c r="G519" s="659"/>
      <c r="H519" s="659"/>
      <c r="I519" s="697"/>
      <c r="J519" s="185"/>
    </row>
    <row r="520" spans="1:10" ht="13.5" thickBot="1">
      <c r="A520" s="414"/>
      <c r="B520" s="67"/>
      <c r="C520" s="68"/>
      <c r="D520" s="69"/>
      <c r="E520" s="70"/>
      <c r="F520" s="71"/>
      <c r="G520" s="36"/>
      <c r="H520" s="36"/>
      <c r="I520" s="55"/>
      <c r="J520" s="18"/>
    </row>
    <row r="521" spans="1:10" ht="15">
      <c r="A521" s="414"/>
      <c r="B521" s="57" t="s">
        <v>113</v>
      </c>
      <c r="C521" s="110">
        <f>ROUNDUP(MAX(5, 10/C35), 0)</f>
        <v>7</v>
      </c>
      <c r="D521" s="110">
        <f>ROUNDUP(((C521)/2),0)</f>
        <v>4</v>
      </c>
      <c r="E521" s="390" t="str">
        <f>DEC2HEX(((D521)*2^24),8)</f>
        <v>04000000</v>
      </c>
      <c r="F521" s="129" t="s">
        <v>1121</v>
      </c>
      <c r="G521" s="688" t="s">
        <v>1127</v>
      </c>
      <c r="H521" s="688" t="str">
        <f>"0x"&amp;DEC2HEX((HEX2DEC(C39)+276), 8)</f>
        <v>0x3D402114</v>
      </c>
      <c r="I521" s="660" t="str">
        <f>"0x"&amp;DEC2HEX((HEX2DEC(E521)+HEX2DEC(E522)+HEX2DEC(E523)+HEX2DEC(E524)), 8)</f>
        <v>0x04040302</v>
      </c>
      <c r="J521" s="18"/>
    </row>
    <row r="522" spans="1:10" ht="15">
      <c r="A522" s="414"/>
      <c r="B522" s="58" t="s">
        <v>114</v>
      </c>
      <c r="C522" s="345">
        <f>ROUNDUP((((MAX(5, 10/C35))+IF(D151=0, (IF(C34&lt;1200, 4, 5)*D156), 0)) ),0)</f>
        <v>7</v>
      </c>
      <c r="D522" s="145">
        <f>ROUNDUP((C522)/2, 0)</f>
        <v>4</v>
      </c>
      <c r="E522" s="140" t="str">
        <f>DEC2HEX(((D522)*2^16),8)</f>
        <v>00040000</v>
      </c>
      <c r="F522" s="403" t="s">
        <v>1121</v>
      </c>
      <c r="G522" s="693"/>
      <c r="H522" s="693"/>
      <c r="I522" s="694"/>
    </row>
    <row r="523" spans="1:10" ht="15">
      <c r="A523" s="414"/>
      <c r="B523" s="72" t="s">
        <v>245</v>
      </c>
      <c r="C523" s="145">
        <f>ROUNDUP(MAX(3, 5/C35), 0)</f>
        <v>4</v>
      </c>
      <c r="D523" s="145">
        <f>ROUNDUP((((C523)+1+IF(D151=0, (IF(C34&lt;1200, 4, 5)*D156), 0))/2),0)</f>
        <v>3</v>
      </c>
      <c r="E523" s="304" t="str">
        <f>DEC2HEX(((D523)*2^8),8)</f>
        <v>00000300</v>
      </c>
      <c r="F523" s="403" t="s">
        <v>1121</v>
      </c>
      <c r="G523" s="693"/>
      <c r="H523" s="693"/>
      <c r="I523" s="694"/>
      <c r="J523" s="185"/>
    </row>
    <row r="524" spans="1:10" ht="15.75" thickBot="1">
      <c r="A524" s="414"/>
      <c r="B524" s="59" t="s">
        <v>246</v>
      </c>
      <c r="C524" s="112">
        <f>ROUNDUP(MAX(3, 5/C35), 0)</f>
        <v>4</v>
      </c>
      <c r="D524" s="112">
        <f>ROUNDUP(((C524)/2),0)</f>
        <v>2</v>
      </c>
      <c r="E524" s="308" t="str">
        <f>DEC2HEX(((D524)*2^0),8)</f>
        <v>00000002</v>
      </c>
      <c r="F524" s="130" t="s">
        <v>1121</v>
      </c>
      <c r="G524" s="659"/>
      <c r="H524" s="659"/>
      <c r="I524" s="661"/>
      <c r="J524" s="18"/>
    </row>
    <row r="525" spans="1:10" ht="13.5" thickBot="1">
      <c r="A525" s="414"/>
      <c r="J525" s="18"/>
    </row>
    <row r="526" spans="1:10" ht="15">
      <c r="A526" s="414"/>
      <c r="B526" s="57" t="s">
        <v>118</v>
      </c>
      <c r="C526" s="262" t="s">
        <v>0</v>
      </c>
      <c r="D526" s="87">
        <f>D522</f>
        <v>4</v>
      </c>
      <c r="E526" s="306" t="str">
        <f>DEC2HEX(((D526)*2^8),8)</f>
        <v>00000400</v>
      </c>
      <c r="F526" s="125" t="s">
        <v>1121</v>
      </c>
      <c r="G526" s="710" t="s">
        <v>1132</v>
      </c>
      <c r="H526" s="658" t="str">
        <f>"0x"&amp;DEC2HEX((HEX2DEC(C39)+284), 8)</f>
        <v>0x3D40211C</v>
      </c>
      <c r="I526" s="711" t="str">
        <f>"0x"&amp;DEC2HEX((HEX2DEC(E526)+HEX2DEC(E527)), 8)</f>
        <v>0x00000404</v>
      </c>
      <c r="J526" s="18"/>
    </row>
    <row r="527" spans="1:10" ht="15.75" thickBot="1">
      <c r="A527" s="414"/>
      <c r="B527" s="59" t="s">
        <v>119</v>
      </c>
      <c r="C527" s="263" t="s">
        <v>0</v>
      </c>
      <c r="D527" s="151">
        <f>D521</f>
        <v>4</v>
      </c>
      <c r="E527" s="308" t="str">
        <f>DEC2HEX(((D527)*2^0),8)</f>
        <v>00000004</v>
      </c>
      <c r="F527" s="128" t="s">
        <v>1121</v>
      </c>
      <c r="G527" s="659"/>
      <c r="H527" s="659"/>
      <c r="I527" s="661"/>
      <c r="J527" s="18"/>
    </row>
    <row r="528" spans="1:10" ht="15.75" thickBot="1">
      <c r="A528" s="414"/>
      <c r="B528" s="73"/>
      <c r="C528" s="264"/>
      <c r="D528" s="111"/>
      <c r="E528" s="36"/>
      <c r="F528" s="131"/>
      <c r="G528" s="78"/>
      <c r="H528" s="78"/>
      <c r="I528" s="78"/>
      <c r="J528" s="18"/>
    </row>
    <row r="529" spans="1:10" ht="15">
      <c r="A529" s="414"/>
      <c r="B529" s="57" t="s">
        <v>365</v>
      </c>
      <c r="C529" s="350">
        <f>C226</f>
        <v>170</v>
      </c>
      <c r="D529" s="110">
        <f>ROUNDUP(((C529)/C35)/32/2 + 1, 0)</f>
        <v>3</v>
      </c>
      <c r="E529" s="306" t="str">
        <f>DEC2HEX(((D529)*2^24),8)</f>
        <v>03000000</v>
      </c>
      <c r="F529" s="125" t="s">
        <v>1121</v>
      </c>
      <c r="G529" s="701" t="s">
        <v>1133</v>
      </c>
      <c r="H529" s="702" t="str">
        <f>"0x"&amp;DEC2HEX((HEX2DEC(C39)+288), 8)</f>
        <v>0x3D402120</v>
      </c>
      <c r="I529" s="703" t="str">
        <f>"0x"&amp;DEC2HEX((HEX2DEC(E529)+HEX2DEC(E530)+HEX2DEC(E531)+HEX2DEC(E532)), 8)</f>
        <v>0x03030D05</v>
      </c>
      <c r="J529" s="18" t="s">
        <v>689</v>
      </c>
    </row>
    <row r="530" spans="1:10" ht="15">
      <c r="A530" s="414"/>
      <c r="B530" s="58" t="s">
        <v>366</v>
      </c>
      <c r="C530" s="265" t="s">
        <v>0</v>
      </c>
      <c r="D530" s="145">
        <f>D529</f>
        <v>3</v>
      </c>
      <c r="E530" s="307" t="str">
        <f>DEC2HEX(((D530)*2^16),8)</f>
        <v>00030000</v>
      </c>
      <c r="F530" s="124" t="s">
        <v>1121</v>
      </c>
      <c r="G530" s="666"/>
      <c r="H530" s="666"/>
      <c r="I530" s="668"/>
      <c r="J530" s="18"/>
    </row>
    <row r="531" spans="1:10" ht="15">
      <c r="A531" s="414"/>
      <c r="B531" s="58" t="s">
        <v>367</v>
      </c>
      <c r="C531" s="452">
        <f>C228</f>
        <v>768</v>
      </c>
      <c r="D531" s="145">
        <f>ROUNDUP((C531/32/2) + 1, 0)</f>
        <v>13</v>
      </c>
      <c r="E531" s="307" t="str">
        <f>DEC2HEX(((D531)*2^8),8)</f>
        <v>00000D00</v>
      </c>
      <c r="F531" s="124" t="s">
        <v>1121</v>
      </c>
      <c r="G531" s="666"/>
      <c r="H531" s="666"/>
      <c r="I531" s="668"/>
      <c r="J531" s="18"/>
    </row>
    <row r="532" spans="1:10" ht="15.75" thickBot="1">
      <c r="A532" s="414"/>
      <c r="B532" s="59" t="s">
        <v>368</v>
      </c>
      <c r="C532" s="351">
        <f>C229</f>
        <v>360</v>
      </c>
      <c r="D532" s="112">
        <f>ROUNDUP(C532/C35/32/2 + 1, 0)</f>
        <v>5</v>
      </c>
      <c r="E532" s="308" t="str">
        <f>DEC2HEX(((D532)*2^0),8)</f>
        <v>00000005</v>
      </c>
      <c r="F532" s="128" t="s">
        <v>1121</v>
      </c>
      <c r="G532" s="667"/>
      <c r="H532" s="667"/>
      <c r="I532" s="669"/>
      <c r="J532" s="18"/>
    </row>
    <row r="533" spans="1:10" ht="13.5" thickBot="1">
      <c r="A533" s="414"/>
      <c r="B533" s="67"/>
      <c r="C533" s="68"/>
      <c r="D533" s="266"/>
      <c r="E533" s="70"/>
      <c r="F533" s="131"/>
      <c r="G533" s="36"/>
      <c r="H533" s="36"/>
      <c r="I533" s="55"/>
      <c r="J533" s="18"/>
    </row>
    <row r="534" spans="1:10" ht="15">
      <c r="A534" s="414"/>
      <c r="B534" s="57" t="s">
        <v>371</v>
      </c>
      <c r="C534" s="262" t="s">
        <v>0</v>
      </c>
      <c r="D534" s="87">
        <f>D231</f>
        <v>0</v>
      </c>
      <c r="E534" s="427" t="str">
        <f>DEC2HEX(((D534)*2^30),8)</f>
        <v>00000000</v>
      </c>
      <c r="F534" s="125" t="s">
        <v>1121</v>
      </c>
      <c r="G534" s="701" t="s">
        <v>1134</v>
      </c>
      <c r="H534" s="702" t="str">
        <f>"0x"&amp;DEC2HEX((HEX2DEC(C39)+292), 8)</f>
        <v>0x3D402124</v>
      </c>
      <c r="I534" s="703" t="str">
        <f>"0x"&amp;DEC2HEX((HEX2DEC(E534)+HEX2DEC(E535)+HEX2DEC(E536)+HEX2DEC(E537)), 8)</f>
        <v>0x00020208</v>
      </c>
      <c r="J534" s="18"/>
    </row>
    <row r="535" spans="1:10" ht="15">
      <c r="A535" s="414"/>
      <c r="B535" s="58" t="s">
        <v>372</v>
      </c>
      <c r="C535" s="265">
        <v>4</v>
      </c>
      <c r="D535" s="145">
        <f>C535/2</f>
        <v>2</v>
      </c>
      <c r="E535" s="429" t="str">
        <f>DEC2HEX(((D535)*2^16),8)</f>
        <v>00020000</v>
      </c>
      <c r="F535" s="124" t="s">
        <v>1121</v>
      </c>
      <c r="G535" s="666"/>
      <c r="H535" s="666"/>
      <c r="I535" s="668"/>
    </row>
    <row r="536" spans="1:10" ht="15">
      <c r="A536" s="414"/>
      <c r="B536" s="58" t="s">
        <v>373</v>
      </c>
      <c r="C536" s="349">
        <f>ROUNDUP(IF(C30=16, MAX(4, 5.3/C35), MAX(4, 3.3/C35)), 0)</f>
        <v>4</v>
      </c>
      <c r="D536" s="145">
        <f>ROUNDUP(C536/2, 0)</f>
        <v>2</v>
      </c>
      <c r="E536" s="429" t="str">
        <f>DEC2HEX(((D536)*2^8),8)</f>
        <v>00000200</v>
      </c>
      <c r="F536" s="124" t="s">
        <v>1121</v>
      </c>
      <c r="G536" s="666"/>
      <c r="H536" s="666"/>
      <c r="I536" s="668"/>
      <c r="J536" s="18"/>
    </row>
    <row r="537" spans="1:10" ht="15.75" thickBot="1">
      <c r="A537" s="414"/>
      <c r="B537" s="59" t="s">
        <v>374</v>
      </c>
      <c r="C537" s="351">
        <f>ROUNDUP(MAX(2, 2.5/C35),0)</f>
        <v>2</v>
      </c>
      <c r="D537" s="112">
        <f>ROUNDUP((C507  + IF(C34&lt;1200, 4, 5)*D156 + D52 + C537 )/2, 0)</f>
        <v>8</v>
      </c>
      <c r="E537" s="428" t="str">
        <f>DEC2HEX(((D537)*2^0),8)</f>
        <v>00000008</v>
      </c>
      <c r="F537" s="128" t="s">
        <v>1121</v>
      </c>
      <c r="G537" s="667"/>
      <c r="H537" s="667"/>
      <c r="I537" s="669"/>
      <c r="J537" s="18"/>
    </row>
    <row r="538" spans="1:10" ht="13.5" thickBot="1">
      <c r="A538" s="414"/>
      <c r="J538" s="18"/>
    </row>
    <row r="539" spans="1:10" ht="15">
      <c r="A539" s="414"/>
      <c r="B539" s="57" t="s">
        <v>383</v>
      </c>
      <c r="C539" s="262" t="s">
        <v>0</v>
      </c>
      <c r="D539" s="110">
        <f>ROUNDUP((C532/C35 + C531)/32/2 +1, 0)</f>
        <v>17</v>
      </c>
      <c r="E539" s="306" t="str">
        <f>DEC2HEX(((D539)*2^24),8)</f>
        <v>11000000</v>
      </c>
      <c r="F539" s="125" t="s">
        <v>1121</v>
      </c>
      <c r="G539" s="701" t="s">
        <v>1135</v>
      </c>
      <c r="H539" s="702" t="str">
        <f>"0x"&amp;DEC2HEX((HEX2DEC(C39)+300), 8)</f>
        <v>0x3D40212C</v>
      </c>
      <c r="I539" s="703" t="str">
        <f>"0x"&amp;DEC2HEX((HEX2DEC(E539)+HEX2DEC(E540)+HEX2DEC(E541)+HEX2DEC(E542)), 8)</f>
        <v>0x1106010E</v>
      </c>
      <c r="J539" s="18"/>
    </row>
    <row r="540" spans="1:10" ht="15">
      <c r="A540" s="414"/>
      <c r="B540" s="58" t="s">
        <v>384</v>
      </c>
      <c r="C540" s="265">
        <v>12</v>
      </c>
      <c r="D540" s="145">
        <f>ROUNDUP(C540/C35/2, 0)+1</f>
        <v>6</v>
      </c>
      <c r="E540" s="307" t="str">
        <f>DEC2HEX(((D540)*2^16),8)</f>
        <v>00060000</v>
      </c>
      <c r="F540" s="124" t="s">
        <v>1121</v>
      </c>
      <c r="G540" s="666"/>
      <c r="H540" s="666"/>
      <c r="I540" s="668"/>
      <c r="J540" s="18"/>
    </row>
    <row r="541" spans="1:10" ht="15">
      <c r="A541" s="414"/>
      <c r="B541" s="58" t="s">
        <v>385</v>
      </c>
      <c r="C541" s="145">
        <f>0.062+0.087</f>
        <v>0.14899999999999999</v>
      </c>
      <c r="D541" s="145">
        <f>ROUNDUP(C541/C35/2, 0)</f>
        <v>1</v>
      </c>
      <c r="E541" s="307" t="str">
        <f>DEC2HEX(((D541)*2^8),8)</f>
        <v>00000100</v>
      </c>
      <c r="F541" s="124" t="s">
        <v>1121</v>
      </c>
      <c r="G541" s="666"/>
      <c r="H541" s="666"/>
      <c r="I541" s="668"/>
      <c r="J541" s="184"/>
    </row>
    <row r="542" spans="1:10" ht="15.75" thickBot="1">
      <c r="A542" s="414"/>
      <c r="B542" s="59" t="s">
        <v>386</v>
      </c>
      <c r="C542" s="351">
        <f>(MAX(24, 15/C35)+4)</f>
        <v>28</v>
      </c>
      <c r="D542" s="112">
        <f>ROUNDUP(C542/2,0)</f>
        <v>14</v>
      </c>
      <c r="E542" s="308" t="str">
        <f>DEC2HEX(((D542)*2^0),8)</f>
        <v>0000000E</v>
      </c>
      <c r="F542" s="128" t="s">
        <v>1121</v>
      </c>
      <c r="G542" s="667"/>
      <c r="H542" s="667"/>
      <c r="I542" s="669"/>
      <c r="J542" s="18"/>
    </row>
    <row r="543" spans="1:10" ht="13.5" thickBot="1">
      <c r="A543" s="414"/>
      <c r="B543" s="67"/>
      <c r="C543" s="68"/>
      <c r="D543" s="69"/>
      <c r="E543" s="70"/>
      <c r="F543" s="131"/>
      <c r="G543" s="36"/>
      <c r="H543" s="36"/>
      <c r="I543" s="55"/>
    </row>
    <row r="544" spans="1:10" ht="15">
      <c r="A544" s="414"/>
      <c r="B544" s="57" t="s">
        <v>197</v>
      </c>
      <c r="C544" s="171">
        <v>0</v>
      </c>
      <c r="D544" s="110">
        <f>ROUNDUP( (C544/2), 0)</f>
        <v>0</v>
      </c>
      <c r="E544" s="306" t="str">
        <f>DEC2HEX(((D544)*2^16),8)</f>
        <v>00000000</v>
      </c>
      <c r="F544" s="125" t="s">
        <v>1121</v>
      </c>
      <c r="G544" s="688" t="s">
        <v>1136</v>
      </c>
      <c r="H544" s="688" t="str">
        <f>"0x"&amp;DEC2HEX((HEX2DEC(C39)+304), 8)</f>
        <v>0x3D402130</v>
      </c>
      <c r="I544" s="660" t="str">
        <f>"0x"&amp;DEC2HEX((HEX2DEC(E544)+HEX2DEC(E545)), 8)</f>
        <v>0x00000008</v>
      </c>
      <c r="J544" s="18"/>
    </row>
    <row r="545" spans="1:11" ht="15.75" thickBot="1">
      <c r="A545" s="414"/>
      <c r="B545" s="59" t="s">
        <v>198</v>
      </c>
      <c r="C545" s="352">
        <f>MAX(16, 10/C35)</f>
        <v>16</v>
      </c>
      <c r="D545" s="112">
        <f>ROUNDUP(C545/2, 0)</f>
        <v>8</v>
      </c>
      <c r="E545" s="308" t="str">
        <f>DEC2HEX(((D545)*2^0),8)</f>
        <v>00000008</v>
      </c>
      <c r="F545" s="128" t="s">
        <v>1121</v>
      </c>
      <c r="G545" s="690"/>
      <c r="H545" s="690"/>
      <c r="I545" s="692"/>
      <c r="J545" s="18"/>
    </row>
    <row r="546" spans="1:11" ht="13.5" thickBot="1">
      <c r="A546" s="414"/>
      <c r="J546" s="18"/>
    </row>
    <row r="547" spans="1:11" ht="15">
      <c r="A547" s="414"/>
      <c r="B547" s="57" t="s">
        <v>694</v>
      </c>
      <c r="C547" s="354" t="s">
        <v>0</v>
      </c>
      <c r="D547" s="233">
        <v>0</v>
      </c>
      <c r="E547" s="306" t="str">
        <f>DEC2HEX(((D547)*2^31),8)</f>
        <v>00000000</v>
      </c>
      <c r="F547" s="125" t="s">
        <v>1121</v>
      </c>
      <c r="G547" s="665" t="s">
        <v>1137</v>
      </c>
      <c r="H547" s="665" t="str">
        <f>"0x"&amp;DEC2HEX((HEX2DEC(C39)+316), 8)</f>
        <v>0x3D40213C</v>
      </c>
      <c r="I547" s="651" t="str">
        <f>"0x"&amp;DEC2HEX((HEX2DEC(E547)+HEX2DEC(E548)), 8)</f>
        <v>0x00000000</v>
      </c>
      <c r="J547" s="732"/>
      <c r="K547" s="65"/>
    </row>
    <row r="548" spans="1:11" ht="15.75" thickBot="1">
      <c r="A548" s="414"/>
      <c r="B548" s="59" t="s">
        <v>695</v>
      </c>
      <c r="C548" s="353" t="s">
        <v>0</v>
      </c>
      <c r="D548" s="355">
        <v>0</v>
      </c>
      <c r="E548" s="308" t="str">
        <f>DEC2HEX(((D548)*2^0),8)</f>
        <v>00000000</v>
      </c>
      <c r="F548" s="128" t="s">
        <v>1121</v>
      </c>
      <c r="G548" s="704"/>
      <c r="H548" s="704"/>
      <c r="I548" s="653"/>
      <c r="J548" s="732"/>
      <c r="K548" s="65"/>
    </row>
    <row r="549" spans="1:11" ht="15.75" thickBot="1">
      <c r="A549" s="414"/>
      <c r="B549" s="73"/>
      <c r="C549" s="446"/>
      <c r="D549" s="251"/>
      <c r="E549" s="36"/>
      <c r="F549" s="131"/>
      <c r="G549" s="36"/>
      <c r="H549" s="36"/>
      <c r="I549" s="55"/>
      <c r="J549" s="732"/>
      <c r="K549" s="65"/>
    </row>
    <row r="550" spans="1:11">
      <c r="A550" s="414"/>
      <c r="B550" s="57" t="s">
        <v>222</v>
      </c>
      <c r="C550" s="88" t="s">
        <v>0</v>
      </c>
      <c r="D550" s="56">
        <v>2</v>
      </c>
      <c r="E550" s="427" t="str">
        <f>DEC2HEX(((D550)*2^20),8)</f>
        <v>00200000</v>
      </c>
      <c r="F550" s="33" t="s">
        <v>1121</v>
      </c>
      <c r="G550" s="688" t="s">
        <v>1144</v>
      </c>
      <c r="H550" s="688" t="str">
        <f>"0x"&amp;DEC2HEX((HEX2DEC(C39)+HEX2DEC(50)), 8)</f>
        <v>0x3D402050</v>
      </c>
      <c r="I550" s="660" t="str">
        <f>"0x"&amp;DEC2HEX((HEX2DEC(E550)+HEX2DEC(E551)+HEX2DEC(E552)+HEX2DEC(E553)), 8)</f>
        <v>0x00210070</v>
      </c>
      <c r="J550" s="732"/>
      <c r="K550" s="65"/>
    </row>
    <row r="551" spans="1:11" ht="15">
      <c r="A551" s="414"/>
      <c r="B551" s="58" t="s">
        <v>224</v>
      </c>
      <c r="C551" s="89" t="s">
        <v>0</v>
      </c>
      <c r="D551" s="118">
        <f>D125</f>
        <v>16</v>
      </c>
      <c r="E551" s="429" t="str">
        <f>DEC2HEX(((D551)*2^12),8)</f>
        <v>00010000</v>
      </c>
      <c r="F551" s="17" t="s">
        <v>1121</v>
      </c>
      <c r="G551" s="689"/>
      <c r="H551" s="689"/>
      <c r="I551" s="691"/>
      <c r="J551" s="18"/>
    </row>
    <row r="552" spans="1:11" ht="15">
      <c r="A552" s="414"/>
      <c r="B552" s="58" t="s">
        <v>226</v>
      </c>
      <c r="C552" s="89" t="s">
        <v>0</v>
      </c>
      <c r="D552" s="190">
        <f>D126</f>
        <v>7</v>
      </c>
      <c r="E552" s="429" t="str">
        <f>DEC2HEX(((D552)*2^4),8)</f>
        <v>00000070</v>
      </c>
      <c r="F552" s="17" t="s">
        <v>1121</v>
      </c>
      <c r="G552" s="689"/>
      <c r="H552" s="689"/>
      <c r="I552" s="691"/>
      <c r="J552" s="181"/>
      <c r="K552" s="65"/>
    </row>
    <row r="553" spans="1:11" ht="15.75" thickBot="1">
      <c r="A553" s="414"/>
      <c r="B553" s="59" t="s">
        <v>228</v>
      </c>
      <c r="C553" s="92" t="s">
        <v>0</v>
      </c>
      <c r="D553" s="151">
        <f>D127</f>
        <v>0</v>
      </c>
      <c r="E553" s="428" t="str">
        <f>DEC2HEX(((D553)*2^2),8)</f>
        <v>00000000</v>
      </c>
      <c r="F553" s="34" t="s">
        <v>1121</v>
      </c>
      <c r="G553" s="690"/>
      <c r="H553" s="690"/>
      <c r="I553" s="692"/>
      <c r="J553" s="18"/>
      <c r="K553" s="65"/>
    </row>
    <row r="554" spans="1:11" ht="15.75" thickBot="1">
      <c r="A554" s="414"/>
      <c r="B554" s="73"/>
      <c r="C554" s="446"/>
      <c r="D554" s="251"/>
      <c r="E554" s="36"/>
      <c r="F554" s="131"/>
      <c r="G554" s="36"/>
      <c r="H554" s="36"/>
      <c r="I554" s="55"/>
      <c r="J554" s="18"/>
    </row>
    <row r="555" spans="1:11" ht="15">
      <c r="A555" s="414"/>
      <c r="B555" s="120" t="s">
        <v>122</v>
      </c>
      <c r="C555" s="110">
        <f>C137</f>
        <v>7800</v>
      </c>
      <c r="D555" s="110">
        <f>ROUNDDOWN(D137*C33/C35, 0)</f>
        <v>81</v>
      </c>
      <c r="E555" s="427" t="str">
        <f>DEC2HEX(((D555)*2^16),8)</f>
        <v>00510000</v>
      </c>
      <c r="F555" s="33" t="s">
        <v>1121</v>
      </c>
      <c r="G555" s="665" t="s">
        <v>1145</v>
      </c>
      <c r="H555" s="665" t="str">
        <f>"0x"&amp;DEC2HEX((HEX2DEC(C39)+HEX2DEC(64)), 8)</f>
        <v>0x3D402064</v>
      </c>
      <c r="I555" s="651" t="str">
        <f>"0x"&amp;DEC2HEX((HEX2DEC(E555)+HEX2DEC(E556)), 8)</f>
        <v>0x00510075</v>
      </c>
      <c r="J555" s="18"/>
    </row>
    <row r="556" spans="1:11" ht="15.75" thickBot="1">
      <c r="A556" s="414"/>
      <c r="B556" s="136" t="s">
        <v>123</v>
      </c>
      <c r="C556" s="112">
        <f>C138</f>
        <v>350</v>
      </c>
      <c r="D556" s="112">
        <f>ROUNDUP(D138*C33/C35, 0)</f>
        <v>117</v>
      </c>
      <c r="E556" s="428" t="str">
        <f>DEC2HEX(((D556)*2^0),8)</f>
        <v>00000075</v>
      </c>
      <c r="F556" s="34" t="s">
        <v>1121</v>
      </c>
      <c r="G556" s="667"/>
      <c r="H556" s="667"/>
      <c r="I556" s="669"/>
      <c r="J556" s="18"/>
    </row>
    <row r="557" spans="1:11" ht="15.75" thickBot="1">
      <c r="A557" s="414"/>
      <c r="B557" s="73"/>
      <c r="C557" s="446"/>
      <c r="D557" s="251"/>
      <c r="E557" s="36"/>
      <c r="F557" s="131"/>
      <c r="G557" s="36"/>
      <c r="H557" s="36"/>
      <c r="I557" s="55"/>
      <c r="J557" s="18"/>
    </row>
    <row r="558" spans="1:11" ht="15">
      <c r="A558" s="414"/>
      <c r="B558" s="57" t="s">
        <v>124</v>
      </c>
      <c r="C558" s="64" t="s">
        <v>0</v>
      </c>
      <c r="D558" s="87">
        <f t="shared" ref="D558:D563" si="0">D247</f>
        <v>0</v>
      </c>
      <c r="E558" s="427" t="str">
        <f>DEC2HEX(((D558)*2^31),8)</f>
        <v>00000000</v>
      </c>
      <c r="F558" s="33" t="s">
        <v>1121</v>
      </c>
      <c r="G558" s="688" t="s">
        <v>1146</v>
      </c>
      <c r="H558" s="688" t="str">
        <f>"0x"&amp;DEC2HEX((HEX2DEC(C39)+384), 8)</f>
        <v>0x3D402180</v>
      </c>
      <c r="I558" s="660" t="str">
        <f>"0x"&amp;DEC2HEX((HEX2DEC(E558)+HEX2DEC(E559)+HEX2DEC(E560)+HEX2DEC(E561)+HEX2DEC(E562)+HEX2DEC(E563)), 8)</f>
        <v>0x01000040</v>
      </c>
      <c r="J558" s="18"/>
    </row>
    <row r="559" spans="1:11" ht="15">
      <c r="A559" s="414"/>
      <c r="B559" s="58" t="s">
        <v>125</v>
      </c>
      <c r="C559" s="60" t="s">
        <v>0</v>
      </c>
      <c r="D559" s="190">
        <f t="shared" si="0"/>
        <v>0</v>
      </c>
      <c r="E559" s="429" t="str">
        <f>DEC2HEX(((D559)*2^30),8)</f>
        <v>00000000</v>
      </c>
      <c r="F559" s="17" t="s">
        <v>1121</v>
      </c>
      <c r="G559" s="689"/>
      <c r="H559" s="689"/>
      <c r="I559" s="691"/>
      <c r="J559" s="18"/>
    </row>
    <row r="560" spans="1:11" ht="15">
      <c r="A560" s="414"/>
      <c r="B560" s="58" t="s">
        <v>126</v>
      </c>
      <c r="C560" s="60" t="s">
        <v>0</v>
      </c>
      <c r="D560" s="190">
        <f t="shared" si="0"/>
        <v>0</v>
      </c>
      <c r="E560" s="429" t="str">
        <f>DEC2HEX(((D560)*2^29),8)</f>
        <v>00000000</v>
      </c>
      <c r="F560" s="17" t="s">
        <v>1121</v>
      </c>
      <c r="G560" s="689"/>
      <c r="H560" s="689"/>
      <c r="I560" s="691"/>
      <c r="J560" s="18"/>
    </row>
    <row r="561" spans="1:11" ht="15">
      <c r="A561" s="414"/>
      <c r="B561" s="72" t="s">
        <v>200</v>
      </c>
      <c r="C561" s="89" t="s">
        <v>0</v>
      </c>
      <c r="D561" s="190">
        <f t="shared" si="0"/>
        <v>0</v>
      </c>
      <c r="E561" s="429" t="str">
        <f>DEC2HEX(((D561)*2^28),8)</f>
        <v>00000000</v>
      </c>
      <c r="F561" s="17" t="s">
        <v>1121</v>
      </c>
      <c r="G561" s="689"/>
      <c r="H561" s="689"/>
      <c r="I561" s="691"/>
      <c r="J561" s="18"/>
    </row>
    <row r="562" spans="1:11" ht="15">
      <c r="A562" s="414"/>
      <c r="B562" s="72" t="s">
        <v>127</v>
      </c>
      <c r="C562" s="190">
        <f>C251</f>
        <v>512</v>
      </c>
      <c r="D562" s="190">
        <f t="shared" si="0"/>
        <v>256</v>
      </c>
      <c r="E562" s="429" t="str">
        <f>DEC2HEX(((D562)*2^16),8)</f>
        <v>01000000</v>
      </c>
      <c r="F562" s="17" t="s">
        <v>1121</v>
      </c>
      <c r="G562" s="689"/>
      <c r="H562" s="689"/>
      <c r="I562" s="691"/>
      <c r="J562" s="18"/>
    </row>
    <row r="563" spans="1:11" ht="15.75" thickBot="1">
      <c r="A563" s="414"/>
      <c r="B563" s="59" t="s">
        <v>128</v>
      </c>
      <c r="C563" s="151">
        <f>C252</f>
        <v>128</v>
      </c>
      <c r="D563" s="151">
        <f t="shared" si="0"/>
        <v>64</v>
      </c>
      <c r="E563" s="428" t="str">
        <f>DEC2HEX(((D563)*2^0),8)</f>
        <v>00000040</v>
      </c>
      <c r="F563" s="34" t="s">
        <v>1121</v>
      </c>
      <c r="G563" s="690"/>
      <c r="H563" s="690"/>
      <c r="I563" s="692"/>
      <c r="J563" s="18"/>
    </row>
    <row r="564" spans="1:11" ht="16.5" thickBot="1">
      <c r="A564" s="414"/>
      <c r="B564" s="73"/>
      <c r="C564" s="446"/>
      <c r="D564" s="251"/>
      <c r="E564" s="36"/>
      <c r="F564" s="131"/>
      <c r="G564" s="36"/>
      <c r="H564" s="36"/>
      <c r="I564" s="55"/>
      <c r="J564" s="172"/>
    </row>
    <row r="565" spans="1:11">
      <c r="A565" s="414"/>
      <c r="B565" s="57" t="s">
        <v>131</v>
      </c>
      <c r="C565" s="64"/>
      <c r="D565" s="56">
        <v>3</v>
      </c>
      <c r="E565" s="427" t="str">
        <f>DEC2HEX(((D565)*2^24),8)</f>
        <v>03000000</v>
      </c>
      <c r="F565" s="33" t="s">
        <v>1121</v>
      </c>
      <c r="G565" s="688" t="s">
        <v>1147</v>
      </c>
      <c r="H565" s="688" t="str">
        <f>"0x"&amp;DEC2HEX((HEX2DEC(C39)+400), 8)</f>
        <v>0x3D402190</v>
      </c>
      <c r="I565" s="695" t="str">
        <f>"0x"&amp;DEC2HEX((HEX2DEC(E565)+HEX2DEC(E566)+HEX2DEC(E567)+HEX2DEC(E568)+HEX2DEC(E569)+HEX2DEC(E570)), 8)</f>
        <v>0x03858204</v>
      </c>
      <c r="J565" s="18"/>
    </row>
    <row r="566" spans="1:11">
      <c r="A566" s="414"/>
      <c r="B566" s="58" t="s">
        <v>132</v>
      </c>
      <c r="C566" s="60"/>
      <c r="D566" s="119">
        <v>1</v>
      </c>
      <c r="E566" s="429" t="str">
        <f>DEC2HEX(((D566)*2^23),8)</f>
        <v>00800000</v>
      </c>
      <c r="F566" s="17" t="s">
        <v>1121</v>
      </c>
      <c r="G566" s="693"/>
      <c r="H566" s="693"/>
      <c r="I566" s="696"/>
      <c r="J566" s="18"/>
    </row>
    <row r="567" spans="1:11" ht="15.75">
      <c r="A567" s="414"/>
      <c r="B567" s="58" t="s">
        <v>133</v>
      </c>
      <c r="C567" s="60"/>
      <c r="D567" s="190">
        <f>(C508 - 5)</f>
        <v>5</v>
      </c>
      <c r="E567" s="429" t="str">
        <f>DEC2HEX(((D567)*2^16),8)</f>
        <v>00050000</v>
      </c>
      <c r="F567" s="17" t="s">
        <v>1121</v>
      </c>
      <c r="G567" s="693"/>
      <c r="H567" s="693"/>
      <c r="I567" s="696"/>
      <c r="J567" s="412"/>
      <c r="K567" s="413"/>
    </row>
    <row r="568" spans="1:11" ht="12.75" customHeight="1">
      <c r="A568" s="414"/>
      <c r="B568" s="58" t="s">
        <v>134</v>
      </c>
      <c r="C568" s="60"/>
      <c r="D568" s="119">
        <v>1</v>
      </c>
      <c r="E568" s="429" t="str">
        <f>DEC2HEX(((D568)*2^15),8)</f>
        <v>00008000</v>
      </c>
      <c r="F568" s="17" t="s">
        <v>1121</v>
      </c>
      <c r="G568" s="693"/>
      <c r="H568" s="693"/>
      <c r="I568" s="696"/>
      <c r="J568" s="18"/>
    </row>
    <row r="569" spans="1:11">
      <c r="A569" s="414"/>
      <c r="B569" s="72" t="s">
        <v>135</v>
      </c>
      <c r="C569" s="60"/>
      <c r="D569" s="119">
        <v>2</v>
      </c>
      <c r="E569" s="429" t="str">
        <f>DEC2HEX(((D569)*2^8),8)</f>
        <v>00000200</v>
      </c>
      <c r="F569" s="17" t="s">
        <v>1121</v>
      </c>
      <c r="G569" s="693"/>
      <c r="H569" s="693"/>
      <c r="I569" s="696"/>
      <c r="J569" s="18"/>
    </row>
    <row r="570" spans="1:11" ht="15.75" thickBot="1">
      <c r="A570" s="414"/>
      <c r="B570" s="136" t="s">
        <v>136</v>
      </c>
      <c r="C570" s="62"/>
      <c r="D570" s="151">
        <f>C507-5</f>
        <v>4</v>
      </c>
      <c r="E570" s="428" t="str">
        <f>DEC2HEX(((D570)*2^0),8)</f>
        <v>00000004</v>
      </c>
      <c r="F570" s="34" t="s">
        <v>1121</v>
      </c>
      <c r="G570" s="659"/>
      <c r="H570" s="659"/>
      <c r="I570" s="697"/>
      <c r="J570" s="18"/>
    </row>
    <row r="571" spans="1:11" ht="13.5" thickBot="1">
      <c r="A571" s="414"/>
      <c r="B571" s="67"/>
      <c r="C571" s="68"/>
      <c r="D571" s="69"/>
      <c r="E571" s="70"/>
      <c r="F571" s="71"/>
      <c r="G571" s="36"/>
      <c r="H571" s="36"/>
      <c r="I571" s="55"/>
      <c r="J571" s="18"/>
    </row>
    <row r="572" spans="1:11">
      <c r="A572" s="414"/>
      <c r="B572" s="57" t="s">
        <v>203</v>
      </c>
      <c r="C572" s="64" t="s">
        <v>0</v>
      </c>
      <c r="D572" s="56">
        <v>0</v>
      </c>
      <c r="E572" s="427" t="str">
        <f>DEC2HEX(((D572)*2^28),8)</f>
        <v>00000000</v>
      </c>
      <c r="F572" s="33" t="s">
        <v>1121</v>
      </c>
      <c r="G572" s="688" t="s">
        <v>1148</v>
      </c>
      <c r="H572" s="688" t="str">
        <f>"0x"&amp;DEC2HEX((HEX2DEC(C39)+404), 8)</f>
        <v>0x3D402194</v>
      </c>
      <c r="I572" s="660" t="str">
        <f>"0x"&amp;DEC2HEX((HEX2DEC(E572)+HEX2DEC(E573)+HEX2DEC(E574)+HEX2DEC(E575)+HEX2DEC(E576)), 8)</f>
        <v>0x02020303</v>
      </c>
      <c r="J572" s="18"/>
    </row>
    <row r="573" spans="1:11">
      <c r="A573" s="414"/>
      <c r="B573" s="58" t="s">
        <v>205</v>
      </c>
      <c r="C573" s="60" t="s">
        <v>0</v>
      </c>
      <c r="D573" s="119">
        <v>2</v>
      </c>
      <c r="E573" s="429" t="str">
        <f>DEC2HEX(((D573)*2^24),8)</f>
        <v>02000000</v>
      </c>
      <c r="F573" s="17" t="s">
        <v>1121</v>
      </c>
      <c r="G573" s="693"/>
      <c r="H573" s="693"/>
      <c r="I573" s="694"/>
      <c r="J573" s="18"/>
    </row>
    <row r="574" spans="1:11" ht="8.25" customHeight="1">
      <c r="A574" s="414"/>
      <c r="B574" s="58" t="s">
        <v>137</v>
      </c>
      <c r="C574" s="60" t="s">
        <v>0</v>
      </c>
      <c r="D574" s="119">
        <v>2</v>
      </c>
      <c r="E574" s="429" t="str">
        <f>DEC2HEX(((D574)*2^16),8)</f>
        <v>00020000</v>
      </c>
      <c r="F574" s="17" t="s">
        <v>1121</v>
      </c>
      <c r="G574" s="693"/>
      <c r="H574" s="693"/>
      <c r="I574" s="694"/>
      <c r="J574" s="18"/>
    </row>
    <row r="575" spans="1:11">
      <c r="A575" s="451"/>
      <c r="B575" s="58" t="s">
        <v>138</v>
      </c>
      <c r="C575" s="60" t="s">
        <v>0</v>
      </c>
      <c r="D575" s="119">
        <v>3</v>
      </c>
      <c r="E575" s="429" t="str">
        <f>DEC2HEX(((D575)*2^8),8)</f>
        <v>00000300</v>
      </c>
      <c r="F575" s="17" t="s">
        <v>1121</v>
      </c>
      <c r="G575" s="693"/>
      <c r="H575" s="693"/>
      <c r="I575" s="694"/>
      <c r="J575" s="18"/>
    </row>
    <row r="576" spans="1:11" ht="13.5" thickBot="1">
      <c r="A576" s="451"/>
      <c r="B576" s="59" t="s">
        <v>139</v>
      </c>
      <c r="C576" s="62" t="s">
        <v>0</v>
      </c>
      <c r="D576" s="63">
        <v>3</v>
      </c>
      <c r="E576" s="428" t="str">
        <f>DEC2HEX(((D576)*2^0),8)</f>
        <v>00000003</v>
      </c>
      <c r="F576" s="34" t="s">
        <v>1121</v>
      </c>
      <c r="G576" s="659"/>
      <c r="H576" s="659"/>
      <c r="I576" s="661"/>
      <c r="J576" s="18"/>
    </row>
    <row r="577" spans="1:11" ht="12" customHeight="1" thickBot="1">
      <c r="A577" s="451"/>
      <c r="B577" s="73"/>
      <c r="C577" s="74"/>
      <c r="D577" s="75"/>
      <c r="E577" s="36"/>
      <c r="F577" s="71"/>
      <c r="G577" s="78"/>
      <c r="H577" s="78"/>
      <c r="I577" s="78"/>
      <c r="J577" s="18"/>
    </row>
    <row r="578" spans="1:11" ht="15">
      <c r="A578" s="451"/>
      <c r="B578" s="57" t="s">
        <v>208</v>
      </c>
      <c r="C578" s="88" t="s">
        <v>0</v>
      </c>
      <c r="D578" s="87">
        <f>(C508-5)</f>
        <v>5</v>
      </c>
      <c r="E578" s="427" t="str">
        <f>DEC2HEX(((D578)*2^8),8)</f>
        <v>00000500</v>
      </c>
      <c r="F578" s="33" t="s">
        <v>1121</v>
      </c>
      <c r="G578" s="658" t="s">
        <v>1149</v>
      </c>
      <c r="H578" s="658" t="str">
        <f>"0x"&amp;DEC2HEX((HEX2DEC(C39)+436), 8)</f>
        <v>0x3D4021B4</v>
      </c>
      <c r="I578" s="660" t="str">
        <f>"0x"&amp;DEC2HEX((HEX2DEC(E578)+HEX2DEC(E579)), 8)</f>
        <v>0x00000504</v>
      </c>
      <c r="J578" s="18"/>
    </row>
    <row r="579" spans="1:11" ht="15.75" thickBot="1">
      <c r="A579" s="414"/>
      <c r="B579" s="59" t="s">
        <v>209</v>
      </c>
      <c r="C579" s="92" t="s">
        <v>0</v>
      </c>
      <c r="D579" s="151">
        <f>(C507-5)</f>
        <v>4</v>
      </c>
      <c r="E579" s="428" t="str">
        <f>DEC2HEX(((D579)*2^0),8)</f>
        <v>00000004</v>
      </c>
      <c r="F579" s="34" t="s">
        <v>1121</v>
      </c>
      <c r="G579" s="659"/>
      <c r="H579" s="659"/>
      <c r="I579" s="661"/>
      <c r="J579" s="18"/>
    </row>
    <row r="580" spans="1:11" ht="15.75" thickBot="1">
      <c r="A580" s="414"/>
      <c r="B580" s="73"/>
      <c r="C580" s="98"/>
      <c r="D580" s="367"/>
      <c r="E580" s="36"/>
      <c r="F580" s="71"/>
      <c r="G580" s="78"/>
      <c r="H580" s="78"/>
      <c r="I580" s="78"/>
      <c r="J580" s="829"/>
      <c r="K580" s="181"/>
    </row>
    <row r="581" spans="1:11" ht="15.75" thickBot="1">
      <c r="A581" s="414"/>
      <c r="B581" s="201" t="s">
        <v>747</v>
      </c>
      <c r="C581" s="368">
        <v>8</v>
      </c>
      <c r="D581" s="369">
        <f>ROUNDUP(C581/2,0)</f>
        <v>4</v>
      </c>
      <c r="E581" s="202" t="str">
        <f>DEC2HEX(D581,8)</f>
        <v>00000004</v>
      </c>
      <c r="F581" s="370" t="s">
        <v>1121</v>
      </c>
      <c r="G581" s="320" t="s">
        <v>1150</v>
      </c>
      <c r="H581" s="76" t="str">
        <f>"0x"&amp;DEC2HEX((HEX2DEC(C39)+440), 8)</f>
        <v>0x3D4021B8</v>
      </c>
      <c r="I581" s="371" t="str">
        <f>"0x"&amp;DEC2HEX(HEX2DEC(E581), 8)</f>
        <v>0x00000004</v>
      </c>
      <c r="J581" s="829"/>
      <c r="K581" s="181"/>
    </row>
    <row r="582" spans="1:11" ht="15.75" thickBot="1">
      <c r="A582" s="414"/>
      <c r="B582" s="73"/>
      <c r="C582" s="446"/>
      <c r="D582" s="251"/>
      <c r="E582" s="36"/>
      <c r="F582" s="131"/>
      <c r="G582" s="36"/>
      <c r="H582" s="36"/>
      <c r="I582" s="55"/>
      <c r="J582" s="829"/>
      <c r="K582" s="181"/>
    </row>
    <row r="583" spans="1:11" ht="15">
      <c r="A583" s="414"/>
      <c r="B583" s="57" t="s">
        <v>844</v>
      </c>
      <c r="C583" s="64" t="s">
        <v>0</v>
      </c>
      <c r="D583" s="110">
        <f>D257</f>
        <v>6</v>
      </c>
      <c r="E583" s="427" t="str">
        <f>DEC2HEX(((D583)*2^24),8)</f>
        <v>06000000</v>
      </c>
      <c r="F583" s="33" t="s">
        <v>1121</v>
      </c>
      <c r="G583" s="662" t="s">
        <v>1151</v>
      </c>
      <c r="H583" s="665" t="str">
        <f>"0x"&amp;DEC2HEX((HEX2DEC(C39)+576), 8)</f>
        <v>0x3D402240</v>
      </c>
      <c r="I583" s="651" t="str">
        <f>"0x"&amp;DEC2HEX((HEX2DEC(E583)+HEX2DEC(E584)+HEX2DEC(E585)+HEX2DEC(E586)), 8)</f>
        <v>0x06000604</v>
      </c>
      <c r="J583" s="829"/>
      <c r="K583" s="181"/>
    </row>
    <row r="584" spans="1:11" s="8" customFormat="1" ht="15">
      <c r="A584" s="414"/>
      <c r="B584" s="58" t="s">
        <v>847</v>
      </c>
      <c r="C584" s="60" t="s">
        <v>0</v>
      </c>
      <c r="D584" s="145">
        <f>D258</f>
        <v>0</v>
      </c>
      <c r="E584" s="429" t="str">
        <f>DEC2HEX(((D584)*2^16),8)</f>
        <v>00000000</v>
      </c>
      <c r="F584" s="17" t="s">
        <v>1121</v>
      </c>
      <c r="G584" s="663"/>
      <c r="H584" s="666"/>
      <c r="I584" s="668"/>
      <c r="J584" s="18"/>
    </row>
    <row r="585" spans="1:11" s="8" customFormat="1" ht="15">
      <c r="A585" s="414"/>
      <c r="B585" s="58" t="s">
        <v>849</v>
      </c>
      <c r="C585" s="60" t="s">
        <v>0</v>
      </c>
      <c r="D585" s="145">
        <f>D259</f>
        <v>6</v>
      </c>
      <c r="E585" s="429" t="str">
        <f>DEC2HEX(((D585)*2^8),8)</f>
        <v>00000600</v>
      </c>
      <c r="F585" s="17" t="s">
        <v>1121</v>
      </c>
      <c r="G585" s="663"/>
      <c r="H585" s="666"/>
      <c r="I585" s="668"/>
    </row>
    <row r="586" spans="1:11" s="8" customFormat="1" ht="36.75" customHeight="1" thickBot="1">
      <c r="A586" s="414"/>
      <c r="B586" s="59" t="s">
        <v>851</v>
      </c>
      <c r="C586" s="62" t="s">
        <v>0</v>
      </c>
      <c r="D586" s="112">
        <f>C508-C507 - (D314 + 1) + (D313+1) + D357</f>
        <v>1</v>
      </c>
      <c r="E586" s="428" t="str">
        <f>DEC2HEX(((D586)*2^2),8)</f>
        <v>00000004</v>
      </c>
      <c r="F586" s="34" t="s">
        <v>1121</v>
      </c>
      <c r="G586" s="664"/>
      <c r="H586" s="667"/>
      <c r="I586" s="669"/>
    </row>
    <row r="587" spans="1:11" s="8" customFormat="1" ht="34.5" customHeight="1" thickBot="1">
      <c r="A587" s="414"/>
      <c r="B587" s="436"/>
      <c r="C587" s="170"/>
      <c r="D587" s="157"/>
      <c r="E587" s="443"/>
      <c r="F587" s="437"/>
      <c r="G587" s="443"/>
      <c r="H587" s="443"/>
      <c r="I587" s="453"/>
    </row>
    <row r="588" spans="1:11" s="8" customFormat="1" ht="37.5" customHeight="1" thickBot="1">
      <c r="A588" s="414"/>
      <c r="B588" s="2" t="s">
        <v>398</v>
      </c>
      <c r="C588" s="2" t="s">
        <v>5</v>
      </c>
      <c r="D588" s="2" t="s">
        <v>7</v>
      </c>
      <c r="E588" s="2" t="s">
        <v>6</v>
      </c>
      <c r="F588" s="4" t="s">
        <v>1</v>
      </c>
      <c r="G588" s="46" t="s">
        <v>3</v>
      </c>
      <c r="H588" s="5" t="s">
        <v>219</v>
      </c>
      <c r="I588" s="5" t="s">
        <v>4</v>
      </c>
    </row>
    <row r="589" spans="1:11" s="8" customFormat="1" ht="40.5" customHeight="1">
      <c r="A589" s="414"/>
      <c r="B589" s="282" t="s">
        <v>361</v>
      </c>
      <c r="C589" s="363" t="s">
        <v>0</v>
      </c>
      <c r="D589" s="87">
        <f>IF(C498&lt;26, 0, 1)</f>
        <v>0</v>
      </c>
      <c r="E589" s="283" t="str">
        <f>DEC2HEX(((D589)*2^(16+13)),8)</f>
        <v>00000000</v>
      </c>
      <c r="F589" s="842" t="s">
        <v>1121</v>
      </c>
      <c r="G589" s="833" t="s">
        <v>1152</v>
      </c>
      <c r="H589" s="836" t="str">
        <f>"0x"&amp;DEC2HEX((HEX2DEC(C39)+220), 8)</f>
        <v>0x3D4020DC</v>
      </c>
      <c r="I589" s="839" t="str">
        <f>"0x"&amp;DEC2HEX((HEX2DEC(E589)+HEX2DEC(E590)+HEX2DEC(E591)+HEX2DEC(E592)+HEX2DEC(E593)+HEX2DEC(E594)+HEX2DEC(E595)+HEX2DEC(E596)+HEX2DEC(E597)+HEX2DEC(E598)+HEX2DEC(E599)+HEX2DEC(E600)+HEX2DEC(E601)+HEX2DEC(E602)+HEX2DEC(E603)+HEX2DEC(E604)+HEX2DEC(E605)+HEX2DEC(E606)+HEX2DEC(E607)+HEX2DEC(E608)),8)</f>
        <v>0x00040501</v>
      </c>
    </row>
    <row r="590" spans="1:11" s="8" customFormat="1" ht="25.5">
      <c r="A590" s="414"/>
      <c r="B590" s="284" t="s">
        <v>362</v>
      </c>
      <c r="C590" s="364" t="s">
        <v>0</v>
      </c>
      <c r="D590" s="190">
        <f>IF(C498&lt;18, 0, 1)</f>
        <v>0</v>
      </c>
      <c r="E590" s="103" t="str">
        <f>DEC2HEX(((D590)*2^(16+11)),8)</f>
        <v>00000000</v>
      </c>
      <c r="F590" s="843"/>
      <c r="G590" s="834"/>
      <c r="H590" s="837"/>
      <c r="I590" s="840"/>
    </row>
    <row r="591" spans="1:11" s="8" customFormat="1" ht="25.5">
      <c r="A591" s="414"/>
      <c r="B591" s="284" t="s">
        <v>363</v>
      </c>
      <c r="C591" s="364" t="s">
        <v>0</v>
      </c>
      <c r="D591" s="190">
        <f>IF(OR(C498=14, C498=16, C498=24, C498=22), 1, 0)</f>
        <v>0</v>
      </c>
      <c r="E591" s="103" t="str">
        <f>DEC2HEX(((D591)*2^(16+10)),8)</f>
        <v>00000000</v>
      </c>
      <c r="F591" s="843"/>
      <c r="G591" s="834"/>
      <c r="H591" s="837"/>
      <c r="I591" s="840"/>
    </row>
    <row r="592" spans="1:11" s="8" customFormat="1" ht="25.5">
      <c r="A592" s="414"/>
      <c r="B592" s="284" t="s">
        <v>364</v>
      </c>
      <c r="C592" s="364" t="s">
        <v>0</v>
      </c>
      <c r="D592" s="190">
        <f>IF(OR(C498=12, C498=16, C498=20, C498=22, C498=28), 1, 0)</f>
        <v>0</v>
      </c>
      <c r="E592" s="103" t="str">
        <f>DEC2HEX(((D592)*2^(16+9)),8)</f>
        <v>00000000</v>
      </c>
      <c r="F592" s="843"/>
      <c r="G592" s="834"/>
      <c r="H592" s="837"/>
      <c r="I592" s="840"/>
    </row>
    <row r="593" spans="1:10" s="8" customFormat="1" ht="25.5">
      <c r="A593" s="414"/>
      <c r="B593" s="284" t="s">
        <v>353</v>
      </c>
      <c r="C593" s="364" t="s">
        <v>0</v>
      </c>
      <c r="D593" s="245">
        <v>0</v>
      </c>
      <c r="E593" s="103" t="str">
        <f>DEC2HEX(((D593)*2^(16+8)),8)</f>
        <v>00000000</v>
      </c>
      <c r="F593" s="456" t="s">
        <v>1121</v>
      </c>
      <c r="G593" s="834"/>
      <c r="H593" s="837"/>
      <c r="I593" s="840"/>
    </row>
    <row r="594" spans="1:10" s="8" customFormat="1" ht="25.5">
      <c r="A594" s="414"/>
      <c r="B594" s="284" t="s">
        <v>354</v>
      </c>
      <c r="C594" s="364" t="s">
        <v>0</v>
      </c>
      <c r="D594" s="245">
        <v>0</v>
      </c>
      <c r="E594" s="103" t="str">
        <f>DEC2HEX(((D594)*2^(16+7)),8)</f>
        <v>00000000</v>
      </c>
      <c r="F594" s="456" t="s">
        <v>1121</v>
      </c>
      <c r="G594" s="834"/>
      <c r="H594" s="837"/>
      <c r="I594" s="840"/>
    </row>
    <row r="595" spans="1:10" s="8" customFormat="1" ht="25.5">
      <c r="A595" s="414"/>
      <c r="B595" s="284" t="s">
        <v>355</v>
      </c>
      <c r="C595" s="364" t="s">
        <v>0</v>
      </c>
      <c r="D595" s="717">
        <f>IF(C508&lt;17, C508-9, IF(C508=18, 8, IF(C508=20, 9, IF(C508=22, 10, IF(C508=24, 11, IF(C508=23, 12, IF(C508=17, 13, IF(C508=19, 14, IF(C508=21, 15, 0)))))))))</f>
        <v>1</v>
      </c>
      <c r="E595" s="103" t="str">
        <f>DEC2HEX(((_xlfn.BITAND(DEC2BIN(D595/16), 1))*2^(16+12)),8)</f>
        <v>00000000</v>
      </c>
      <c r="F595" s="830" t="s">
        <v>1121</v>
      </c>
      <c r="G595" s="834"/>
      <c r="H595" s="837"/>
      <c r="I595" s="840"/>
    </row>
    <row r="596" spans="1:10" s="8" customFormat="1" ht="25.5">
      <c r="A596" s="414"/>
      <c r="B596" s="284" t="s">
        <v>356</v>
      </c>
      <c r="C596" s="364" t="s">
        <v>0</v>
      </c>
      <c r="D596" s="718"/>
      <c r="E596" s="103" t="str">
        <f>DEC2HEX(((_xlfn.BITAND(DEC2BIN(D595/8), 1))*2^(16+6)),8)</f>
        <v>00000000</v>
      </c>
      <c r="F596" s="831"/>
      <c r="G596" s="834"/>
      <c r="H596" s="837"/>
      <c r="I596" s="840"/>
    </row>
    <row r="597" spans="1:10" s="8" customFormat="1" ht="25.5">
      <c r="A597" s="414"/>
      <c r="B597" s="284" t="s">
        <v>357</v>
      </c>
      <c r="C597" s="162" t="s">
        <v>0</v>
      </c>
      <c r="D597" s="718"/>
      <c r="E597" s="103" t="str">
        <f>DEC2HEX(((_xlfn.BITAND(DEC2BIN(D595/4), 1))*2^(16+5)),8)</f>
        <v>00000000</v>
      </c>
      <c r="F597" s="831"/>
      <c r="G597" s="834"/>
      <c r="H597" s="837"/>
      <c r="I597" s="840"/>
    </row>
    <row r="598" spans="1:10" s="8" customFormat="1" ht="25.5">
      <c r="A598" s="414"/>
      <c r="B598" s="284" t="s">
        <v>358</v>
      </c>
      <c r="C598" s="162" t="s">
        <v>0</v>
      </c>
      <c r="D598" s="718"/>
      <c r="E598" s="103" t="str">
        <f>DEC2HEX(((_xlfn.BITAND(DEC2BIN(D595/2), 1))*2^(16+4)),8)</f>
        <v>00000000</v>
      </c>
      <c r="F598" s="831"/>
      <c r="G598" s="834"/>
      <c r="H598" s="837"/>
      <c r="I598" s="840"/>
    </row>
    <row r="599" spans="1:10" s="8" customFormat="1" ht="25.5">
      <c r="A599" s="414"/>
      <c r="B599" s="284" t="s">
        <v>359</v>
      </c>
      <c r="C599" s="162" t="s">
        <v>0</v>
      </c>
      <c r="D599" s="719"/>
      <c r="E599" s="103" t="str">
        <f>DEC2HEX(((_xlfn.BITAND(DEC2BIN(D595), 1))*2^(16+2)),8)</f>
        <v>00040000</v>
      </c>
      <c r="F599" s="832"/>
      <c r="G599" s="834"/>
      <c r="H599" s="837"/>
      <c r="I599" s="840"/>
    </row>
    <row r="600" spans="1:10" s="8" customFormat="1" ht="25.5">
      <c r="A600" s="414"/>
      <c r="B600" s="284" t="s">
        <v>360</v>
      </c>
      <c r="C600" s="162" t="s">
        <v>0</v>
      </c>
      <c r="D600" s="434">
        <v>0</v>
      </c>
      <c r="E600" s="103" t="str">
        <f>DEC2HEX(((D600)*2^(16+3)),8)</f>
        <v>00000000</v>
      </c>
      <c r="F600" s="456" t="s">
        <v>1121</v>
      </c>
      <c r="G600" s="834"/>
      <c r="H600" s="837"/>
      <c r="I600" s="840"/>
    </row>
    <row r="601" spans="1:10" s="8" customFormat="1" ht="26.25" thickBot="1">
      <c r="A601" s="414"/>
      <c r="B601" s="285" t="s">
        <v>390</v>
      </c>
      <c r="C601" s="163" t="s">
        <v>0</v>
      </c>
      <c r="D601" s="430">
        <v>0</v>
      </c>
      <c r="E601" s="159" t="str">
        <f>DEC2HEX(((D601)*2^(16+0)),8)</f>
        <v>00000000</v>
      </c>
      <c r="F601" s="456" t="s">
        <v>1121</v>
      </c>
      <c r="G601" s="834"/>
      <c r="H601" s="837"/>
      <c r="I601" s="840"/>
    </row>
    <row r="602" spans="1:10" s="8" customFormat="1" ht="38.25">
      <c r="A602" s="414"/>
      <c r="B602" s="286" t="s">
        <v>397</v>
      </c>
      <c r="C602" s="276" t="s">
        <v>0</v>
      </c>
      <c r="D602" s="442">
        <v>0</v>
      </c>
      <c r="E602" s="158" t="str">
        <f>DEC2HEX(((D602)*2^12),8)</f>
        <v>00000000</v>
      </c>
      <c r="F602" s="456" t="s">
        <v>1121</v>
      </c>
      <c r="G602" s="834"/>
      <c r="H602" s="837"/>
      <c r="I602" s="840"/>
    </row>
    <row r="603" spans="1:10" s="8" customFormat="1" ht="38.25">
      <c r="A603" s="414"/>
      <c r="B603" s="286" t="s">
        <v>396</v>
      </c>
      <c r="C603" s="279" t="s">
        <v>0</v>
      </c>
      <c r="D603" s="280">
        <v>0</v>
      </c>
      <c r="E603" s="158" t="str">
        <f>DEC2HEX(((D603)*2^11),8)</f>
        <v>00000000</v>
      </c>
      <c r="F603" s="456" t="s">
        <v>1121</v>
      </c>
      <c r="G603" s="834"/>
      <c r="H603" s="837"/>
      <c r="I603" s="840"/>
    </row>
    <row r="604" spans="1:10" s="8" customFormat="1" ht="25.5">
      <c r="A604" s="414"/>
      <c r="B604" s="286" t="s">
        <v>1402</v>
      </c>
      <c r="C604" s="162" t="s">
        <v>0</v>
      </c>
      <c r="D604" s="190">
        <f>IF(G19=60,1,IF(G19=120,2,IF(G19=40,3,IF(G19=240,4,IF(G19=48,5,IF(G19=80,6,IF(G19=34,7,0)))))))</f>
        <v>5</v>
      </c>
      <c r="E604" s="158" t="str">
        <f>DEC2HEX(((D604)*2^8),8)</f>
        <v>00000500</v>
      </c>
      <c r="F604" s="456" t="s">
        <v>1121</v>
      </c>
      <c r="G604" s="834"/>
      <c r="H604" s="837"/>
      <c r="I604" s="840"/>
    </row>
    <row r="605" spans="1:10" s="8" customFormat="1" ht="25.5">
      <c r="A605" s="414"/>
      <c r="B605" s="287" t="s">
        <v>394</v>
      </c>
      <c r="C605" s="164" t="s">
        <v>0</v>
      </c>
      <c r="D605" s="160">
        <v>0</v>
      </c>
      <c r="E605" s="158" t="str">
        <f>DEC2HEX(((D605)*2^7),8)</f>
        <v>00000000</v>
      </c>
      <c r="F605" s="456" t="s">
        <v>1121</v>
      </c>
      <c r="G605" s="834"/>
      <c r="H605" s="837"/>
      <c r="I605" s="840"/>
    </row>
    <row r="606" spans="1:10" s="8" customFormat="1" ht="9.75" customHeight="1">
      <c r="A606" s="459"/>
      <c r="B606" s="286" t="s">
        <v>393</v>
      </c>
      <c r="C606" s="162" t="s">
        <v>0</v>
      </c>
      <c r="D606" s="161">
        <v>0</v>
      </c>
      <c r="E606" s="103" t="str">
        <f>DEC2HEX(((D606)*2^3),8)</f>
        <v>00000000</v>
      </c>
      <c r="F606" s="456" t="s">
        <v>1121</v>
      </c>
      <c r="G606" s="834"/>
      <c r="H606" s="837"/>
      <c r="I606" s="840"/>
      <c r="J606" s="12"/>
    </row>
    <row r="607" spans="1:10" s="8" customFormat="1" ht="38.25">
      <c r="A607" s="414"/>
      <c r="B607" s="286" t="s">
        <v>1398</v>
      </c>
      <c r="C607" s="162" t="s">
        <v>0</v>
      </c>
      <c r="D607" s="190">
        <f>IF(G21=34,0,IF(G21=48,1,2))</f>
        <v>0</v>
      </c>
      <c r="E607" s="103" t="str">
        <f>DEC2HEX(((D607)*2^1),8)</f>
        <v>00000000</v>
      </c>
      <c r="F607" s="456" t="s">
        <v>1121</v>
      </c>
      <c r="G607" s="834"/>
      <c r="H607" s="837"/>
      <c r="I607" s="840"/>
    </row>
    <row r="608" spans="1:10" s="8" customFormat="1" ht="26.25" thickBot="1">
      <c r="A608" s="414"/>
      <c r="B608" s="288" t="s">
        <v>391</v>
      </c>
      <c r="C608" s="289" t="s">
        <v>0</v>
      </c>
      <c r="D608" s="290">
        <v>1</v>
      </c>
      <c r="E608" s="159" t="str">
        <f>DEC2HEX(((D608)*2^0),8)</f>
        <v>00000001</v>
      </c>
      <c r="F608" s="457" t="s">
        <v>1121</v>
      </c>
      <c r="G608" s="835"/>
      <c r="H608" s="838"/>
      <c r="I608" s="841"/>
    </row>
    <row r="609" spans="1:9" s="8" customFormat="1" ht="15.75" thickBot="1">
      <c r="A609" s="414"/>
      <c r="B609" s="174"/>
      <c r="C609" s="175"/>
      <c r="D609" s="176"/>
      <c r="E609" s="177"/>
      <c r="F609" s="174"/>
      <c r="G609" s="178"/>
      <c r="H609" s="178"/>
      <c r="I609" s="178"/>
    </row>
    <row r="610" spans="1:9" s="8" customFormat="1" ht="39" thickBot="1">
      <c r="A610" s="414"/>
      <c r="B610" s="2" t="s">
        <v>400</v>
      </c>
      <c r="C610" s="2" t="s">
        <v>5</v>
      </c>
      <c r="D610" s="2" t="s">
        <v>7</v>
      </c>
      <c r="E610" s="2" t="s">
        <v>6</v>
      </c>
      <c r="F610" s="4" t="s">
        <v>1</v>
      </c>
      <c r="G610" s="46" t="s">
        <v>3</v>
      </c>
      <c r="H610" s="5" t="s">
        <v>219</v>
      </c>
      <c r="I610" s="5" t="s">
        <v>4</v>
      </c>
    </row>
    <row r="611" spans="1:9" s="8" customFormat="1" ht="25.5">
      <c r="A611" s="414"/>
      <c r="B611" s="165" t="s">
        <v>548</v>
      </c>
      <c r="C611" s="153" t="s">
        <v>0</v>
      </c>
      <c r="D611" s="318">
        <f>D295</f>
        <v>0</v>
      </c>
      <c r="E611" s="244" t="str">
        <f>DEC2HEX(((D611)*2^(16+12)),8)</f>
        <v>00000000</v>
      </c>
      <c r="F611" s="455" t="s">
        <v>1121</v>
      </c>
      <c r="G611" s="733" t="s">
        <v>1153</v>
      </c>
      <c r="H611" s="658" t="str">
        <f>"0x"&amp;DEC2HEX((HEX2DEC(C39)+224), 8)</f>
        <v>0x3D4020E0</v>
      </c>
      <c r="I611" s="711" t="str">
        <f xml:space="preserve"> "0x"&amp;DEC2HEX((HEX2DEC(E611)+HEX2DEC(E612)+HEX2DEC(E613)+HEX2DEC(E614)+HEX2DEC(E615)+HEX2DEC(E616)+HEX2DEC(E617)+HEX2DEC(E618)+HEX2DEC(E619)+HEX2DEC(E620)+HEX2DEC(E621)+HEX2DEC(E622) ), 8)</f>
        <v>0x00000000</v>
      </c>
    </row>
    <row r="612" spans="1:9" s="8" customFormat="1" ht="25.5">
      <c r="A612" s="414"/>
      <c r="B612" s="102" t="s">
        <v>550</v>
      </c>
      <c r="C612" s="99" t="s">
        <v>0</v>
      </c>
      <c r="D612" s="168">
        <v>0</v>
      </c>
      <c r="E612" s="245" t="str">
        <f>DEC2HEX(((D612)*2^(16+9)),8)</f>
        <v>00000000</v>
      </c>
      <c r="F612" s="456" t="s">
        <v>1121</v>
      </c>
      <c r="G612" s="734"/>
      <c r="H612" s="693"/>
      <c r="I612" s="694"/>
    </row>
    <row r="613" spans="1:9" s="8" customFormat="1" ht="38.25">
      <c r="A613" s="414"/>
      <c r="B613" s="166" t="s">
        <v>552</v>
      </c>
      <c r="C613" s="99" t="s">
        <v>0</v>
      </c>
      <c r="D613" s="168">
        <v>0</v>
      </c>
      <c r="E613" s="245" t="str">
        <f>DEC2HEX(((D613)*2^(16+6)),8)</f>
        <v>00000000</v>
      </c>
      <c r="F613" s="456" t="s">
        <v>1121</v>
      </c>
      <c r="G613" s="734"/>
      <c r="H613" s="693"/>
      <c r="I613" s="694"/>
    </row>
    <row r="614" spans="1:9" s="8" customFormat="1" ht="26.25" thickBot="1">
      <c r="A614" s="414"/>
      <c r="B614" s="82" t="s">
        <v>554</v>
      </c>
      <c r="C614" s="100" t="s">
        <v>0</v>
      </c>
      <c r="D614" s="406">
        <f>IF(C507&lt;14, (C507-9), ((C507-14)/2 + 4 ) )</f>
        <v>0</v>
      </c>
      <c r="E614" s="101" t="str">
        <f>DEC2HEX(((D614)*2^(16+3)),8)</f>
        <v>00000000</v>
      </c>
      <c r="F614" s="457" t="s">
        <v>1121</v>
      </c>
      <c r="G614" s="734"/>
      <c r="H614" s="693"/>
      <c r="I614" s="694"/>
    </row>
    <row r="615" spans="1:9" s="8" customFormat="1" ht="25.5">
      <c r="A615" s="414"/>
      <c r="B615" s="311" t="s">
        <v>556</v>
      </c>
      <c r="C615" s="155" t="s">
        <v>0</v>
      </c>
      <c r="D615" s="167">
        <v>0</v>
      </c>
      <c r="E615" s="83" t="str">
        <f>DEC2HEX(((D615)*2^11),8)</f>
        <v>00000000</v>
      </c>
      <c r="F615" s="454" t="s">
        <v>1121</v>
      </c>
      <c r="G615" s="734"/>
      <c r="H615" s="693"/>
      <c r="I615" s="694"/>
    </row>
    <row r="616" spans="1:9" s="8" customFormat="1" ht="38.25">
      <c r="A616" s="414"/>
      <c r="B616" s="102" t="s">
        <v>558</v>
      </c>
      <c r="C616" s="99" t="s">
        <v>0</v>
      </c>
      <c r="D616" s="439">
        <f>IF(C34&lt;801, 0, IF(C34&lt;1334,1,2))</f>
        <v>0</v>
      </c>
      <c r="E616" s="245" t="str">
        <f>DEC2HEX(((D616)*2^9),8)</f>
        <v>00000000</v>
      </c>
      <c r="F616" s="17" t="s">
        <v>1121</v>
      </c>
      <c r="G616" s="734"/>
      <c r="H616" s="693"/>
      <c r="I616" s="694"/>
    </row>
    <row r="617" spans="1:9" s="8" customFormat="1" ht="25.5">
      <c r="A617" s="414"/>
      <c r="B617" s="102" t="s">
        <v>560</v>
      </c>
      <c r="C617" s="99" t="s">
        <v>0</v>
      </c>
      <c r="D617" s="439">
        <f>D301</f>
        <v>0</v>
      </c>
      <c r="E617" s="245" t="str">
        <f>DEC2HEX(((D617)*2^6),8)</f>
        <v>00000000</v>
      </c>
      <c r="F617" s="17" t="s">
        <v>1121</v>
      </c>
      <c r="G617" s="734"/>
      <c r="H617" s="693"/>
      <c r="I617" s="694"/>
    </row>
    <row r="618" spans="1:9" s="8" customFormat="1" ht="25.5">
      <c r="A618" s="414"/>
      <c r="B618" s="102" t="s">
        <v>562</v>
      </c>
      <c r="C618" s="99" t="s">
        <v>0</v>
      </c>
      <c r="D618" s="168">
        <v>0</v>
      </c>
      <c r="E618" s="245" t="str">
        <f>DEC2HEX(((D618)*2^5),8)</f>
        <v>00000000</v>
      </c>
      <c r="F618" s="17" t="s">
        <v>1121</v>
      </c>
      <c r="G618" s="734"/>
      <c r="H618" s="693"/>
      <c r="I618" s="694"/>
    </row>
    <row r="619" spans="1:9" s="8" customFormat="1" ht="25.5">
      <c r="A619" s="414"/>
      <c r="B619" s="102" t="s">
        <v>564</v>
      </c>
      <c r="C619" s="99" t="s">
        <v>0</v>
      </c>
      <c r="D619" s="168">
        <v>0</v>
      </c>
      <c r="E619" s="245" t="str">
        <f>DEC2HEX(((D619)*2^4),8)</f>
        <v>00000000</v>
      </c>
      <c r="F619" s="17" t="s">
        <v>1121</v>
      </c>
      <c r="G619" s="734"/>
      <c r="H619" s="693"/>
      <c r="I619" s="694"/>
    </row>
    <row r="620" spans="1:9" s="8" customFormat="1" ht="25.5">
      <c r="A620" s="414"/>
      <c r="B620" s="102" t="s">
        <v>566</v>
      </c>
      <c r="C620" s="99" t="s">
        <v>0</v>
      </c>
      <c r="D620" s="168">
        <v>0</v>
      </c>
      <c r="E620" s="245" t="str">
        <f>DEC2HEX(((D620)*2^3),8)</f>
        <v>00000000</v>
      </c>
      <c r="F620" s="17" t="s">
        <v>1121</v>
      </c>
      <c r="G620" s="734"/>
      <c r="H620" s="693"/>
      <c r="I620" s="694"/>
    </row>
    <row r="621" spans="1:9" s="8" customFormat="1" ht="38.25">
      <c r="A621" s="414"/>
      <c r="B621" s="102" t="s">
        <v>568</v>
      </c>
      <c r="C621" s="99" t="s">
        <v>0</v>
      </c>
      <c r="D621" s="168">
        <v>0</v>
      </c>
      <c r="E621" s="245" t="str">
        <f>DEC2HEX(((D621)*2^2),8)</f>
        <v>00000000</v>
      </c>
      <c r="F621" s="17" t="s">
        <v>1121</v>
      </c>
      <c r="G621" s="734"/>
      <c r="H621" s="693"/>
      <c r="I621" s="694"/>
    </row>
    <row r="622" spans="1:9" s="8" customFormat="1" ht="26.25" thickBot="1">
      <c r="A622" s="414"/>
      <c r="B622" s="82" t="s">
        <v>570</v>
      </c>
      <c r="C622" s="100" t="s">
        <v>0</v>
      </c>
      <c r="D622" s="169">
        <v>0</v>
      </c>
      <c r="E622" s="101" t="str">
        <f>DEC2HEX(((D622)*2^0),8)</f>
        <v>00000000</v>
      </c>
      <c r="F622" s="34" t="s">
        <v>1121</v>
      </c>
      <c r="G622" s="735"/>
      <c r="H622" s="659"/>
      <c r="I622" s="661"/>
    </row>
    <row r="623" spans="1:9" s="8" customFormat="1" ht="13.5" thickBot="1">
      <c r="A623" s="414"/>
      <c r="B623" s="313"/>
      <c r="C623" s="241"/>
      <c r="D623" s="314"/>
      <c r="E623" s="242"/>
      <c r="F623" s="315"/>
      <c r="G623" s="316"/>
      <c r="H623" s="78"/>
      <c r="I623" s="78"/>
    </row>
    <row r="624" spans="1:9" s="8" customFormat="1" ht="39" thickBot="1">
      <c r="A624" s="414"/>
      <c r="B624" s="327" t="s">
        <v>575</v>
      </c>
      <c r="C624" s="327" t="s">
        <v>5</v>
      </c>
      <c r="D624" s="327" t="s">
        <v>7</v>
      </c>
      <c r="E624" s="327" t="s">
        <v>6</v>
      </c>
      <c r="F624" s="328" t="s">
        <v>1</v>
      </c>
      <c r="G624" s="325" t="s">
        <v>3</v>
      </c>
      <c r="H624" s="326" t="s">
        <v>219</v>
      </c>
      <c r="I624" s="326" t="s">
        <v>4</v>
      </c>
    </row>
    <row r="625" spans="1:9" s="8" customFormat="1" ht="25.5">
      <c r="A625" s="414"/>
      <c r="B625" s="329" t="s">
        <v>576</v>
      </c>
      <c r="C625" s="153" t="s">
        <v>0</v>
      </c>
      <c r="D625" s="431">
        <v>0</v>
      </c>
      <c r="E625" s="244" t="str">
        <f>DEC2HEX(((D625)*2^(16+13)),8)</f>
        <v>00000000</v>
      </c>
      <c r="F625" s="455" t="s">
        <v>1121</v>
      </c>
      <c r="G625" s="808" t="s">
        <v>1154</v>
      </c>
      <c r="H625" s="811" t="str">
        <f>"0x"&amp;DEC2HEX((HEX2DEC(C39)+232), 8)</f>
        <v>0x3D4020E8</v>
      </c>
      <c r="I625" s="814" t="str">
        <f>"0x"&amp;DEC2HEX((HEX2DEC(E625)+HEX2DEC(E626)+HEX2DEC(E627)+HEX2DEC(E628)+HEX2DEC(E629)+HEX2DEC(E630)+HEX2DEC(E631)+HEX2DEC(E632)++HEX2DEC(E633)+HEX2DEC(E634)+HEX2DEC(E635)+HEX2DEC(E636)+HEX2DEC(E637)+HEX2DEC(E638)+HEX2DEC(E639)+HEX2DEC(E640)+HEX2DEC(E641)+HEX2DEC(E642)+HEX2DEC(E643)+HEX2DEC(E644) ), 8)</f>
        <v>0x02000600</v>
      </c>
    </row>
    <row r="626" spans="1:9" s="8" customFormat="1" ht="15">
      <c r="A626" s="414"/>
      <c r="B626" s="331" t="s">
        <v>577</v>
      </c>
      <c r="C626" s="99" t="s">
        <v>0</v>
      </c>
      <c r="D626" s="439">
        <f>D313</f>
        <v>0</v>
      </c>
      <c r="E626" s="245" t="str">
        <f>DEC2HEX(((D626)*2^(16+12)),8)</f>
        <v>00000000</v>
      </c>
      <c r="F626" s="456" t="s">
        <v>1121</v>
      </c>
      <c r="G626" s="809"/>
      <c r="H626" s="812"/>
      <c r="I626" s="815"/>
    </row>
    <row r="627" spans="1:9" s="8" customFormat="1">
      <c r="A627" s="414"/>
      <c r="B627" s="331" t="s">
        <v>578</v>
      </c>
      <c r="C627" s="99" t="s">
        <v>0</v>
      </c>
      <c r="D627" s="444">
        <v>0</v>
      </c>
      <c r="E627" s="245" t="str">
        <f>DEC2HEX(((D627)*2^(16+11)),8)</f>
        <v>00000000</v>
      </c>
      <c r="F627" s="456" t="s">
        <v>1121</v>
      </c>
      <c r="G627" s="809"/>
      <c r="H627" s="812"/>
      <c r="I627" s="815"/>
    </row>
    <row r="628" spans="1:9" s="8" customFormat="1">
      <c r="A628" s="414"/>
      <c r="B628" s="331" t="s">
        <v>579</v>
      </c>
      <c r="C628" s="99" t="s">
        <v>0</v>
      </c>
      <c r="D628" s="444">
        <v>0</v>
      </c>
      <c r="E628" s="245" t="str">
        <f>DEC2HEX(((D628)*2^(16+10)),8)</f>
        <v>00000000</v>
      </c>
      <c r="F628" s="456" t="s">
        <v>1121</v>
      </c>
      <c r="G628" s="809"/>
      <c r="H628" s="812"/>
      <c r="I628" s="815"/>
    </row>
    <row r="629" spans="1:9" s="8" customFormat="1">
      <c r="A629" s="414"/>
      <c r="B629" s="331" t="s">
        <v>580</v>
      </c>
      <c r="C629" s="99" t="s">
        <v>0</v>
      </c>
      <c r="D629" s="444">
        <v>1</v>
      </c>
      <c r="E629" s="245" t="str">
        <f>DEC2HEX(((D629)*2^(16+9)),8)</f>
        <v>02000000</v>
      </c>
      <c r="F629" s="456" t="s">
        <v>1121</v>
      </c>
      <c r="G629" s="809"/>
      <c r="H629" s="812"/>
      <c r="I629" s="815"/>
    </row>
    <row r="630" spans="1:9" s="8" customFormat="1">
      <c r="A630" s="414"/>
      <c r="B630" s="331" t="s">
        <v>581</v>
      </c>
      <c r="C630" s="99" t="s">
        <v>0</v>
      </c>
      <c r="D630" s="444">
        <v>0</v>
      </c>
      <c r="E630" s="245" t="str">
        <f>DEC2HEX(((D630)*2^(16+6)),8)</f>
        <v>00000000</v>
      </c>
      <c r="F630" s="456" t="s">
        <v>1121</v>
      </c>
      <c r="G630" s="809"/>
      <c r="H630" s="812"/>
      <c r="I630" s="815"/>
    </row>
    <row r="631" spans="1:9" s="8" customFormat="1" ht="25.5">
      <c r="A631" s="414"/>
      <c r="B631" s="331" t="s">
        <v>582</v>
      </c>
      <c r="C631" s="99" t="s">
        <v>0</v>
      </c>
      <c r="D631" s="444">
        <v>0</v>
      </c>
      <c r="E631" s="245" t="str">
        <f>DEC2HEX(((D631)*2^(16+5)),8)</f>
        <v>00000000</v>
      </c>
      <c r="F631" s="456" t="s">
        <v>1121</v>
      </c>
      <c r="G631" s="809"/>
      <c r="H631" s="812"/>
      <c r="I631" s="815"/>
    </row>
    <row r="632" spans="1:9" s="8" customFormat="1">
      <c r="A632" s="414"/>
      <c r="B632" s="331" t="s">
        <v>583</v>
      </c>
      <c r="C632" s="99" t="s">
        <v>0</v>
      </c>
      <c r="D632" s="444">
        <v>0</v>
      </c>
      <c r="E632" s="245" t="str">
        <f>DEC2HEX(((D632)*2^(16+4)),8)</f>
        <v>00000000</v>
      </c>
      <c r="F632" s="456" t="s">
        <v>1121</v>
      </c>
      <c r="G632" s="809"/>
      <c r="H632" s="812"/>
      <c r="I632" s="815"/>
    </row>
    <row r="633" spans="1:9" s="8" customFormat="1" ht="25.5">
      <c r="A633" s="414"/>
      <c r="B633" s="331" t="s">
        <v>584</v>
      </c>
      <c r="C633" s="99" t="s">
        <v>0</v>
      </c>
      <c r="D633" s="444">
        <v>0</v>
      </c>
      <c r="E633" s="245" t="str">
        <f>DEC2HEX(((D633)*2^(16+3)),8)</f>
        <v>00000000</v>
      </c>
      <c r="F633" s="456" t="s">
        <v>1121</v>
      </c>
      <c r="G633" s="809"/>
      <c r="H633" s="812"/>
      <c r="I633" s="815"/>
    </row>
    <row r="634" spans="1:9" s="8" customFormat="1" ht="25.5">
      <c r="A634" s="414"/>
      <c r="B634" s="331" t="s">
        <v>585</v>
      </c>
      <c r="C634" s="99" t="s">
        <v>0</v>
      </c>
      <c r="D634" s="444">
        <v>0</v>
      </c>
      <c r="E634" s="245" t="str">
        <f>DEC2HEX(((D634)*2^(16+2)),8)</f>
        <v>00000000</v>
      </c>
      <c r="F634" s="456" t="s">
        <v>1121</v>
      </c>
      <c r="G634" s="809"/>
      <c r="H634" s="812"/>
      <c r="I634" s="815"/>
    </row>
    <row r="635" spans="1:9" s="8" customFormat="1" ht="26.25" thickBot="1">
      <c r="A635" s="414"/>
      <c r="B635" s="332" t="s">
        <v>586</v>
      </c>
      <c r="C635" s="100" t="s">
        <v>0</v>
      </c>
      <c r="D635" s="432">
        <v>0</v>
      </c>
      <c r="E635" s="101" t="str">
        <f>DEC2HEX(((D635)*2^(16+1)),8)</f>
        <v>00000000</v>
      </c>
      <c r="F635" s="457" t="s">
        <v>1121</v>
      </c>
      <c r="G635" s="809"/>
      <c r="H635" s="812"/>
      <c r="I635" s="815"/>
    </row>
    <row r="636" spans="1:9" s="8" customFormat="1" ht="25.5">
      <c r="A636" s="414"/>
      <c r="B636" s="329" t="s">
        <v>596</v>
      </c>
      <c r="C636" s="153" t="s">
        <v>0</v>
      </c>
      <c r="D636" s="439">
        <f>D395</f>
        <v>0</v>
      </c>
      <c r="E636" s="244" t="str">
        <f>DEC2HEX(((D636)*2^(12)),8)</f>
        <v>00000000</v>
      </c>
      <c r="F636" s="458" t="s">
        <v>1121</v>
      </c>
      <c r="G636" s="809"/>
      <c r="H636" s="812"/>
      <c r="I636" s="815"/>
    </row>
    <row r="637" spans="1:9" s="8" customFormat="1" ht="25.5">
      <c r="A637" s="414"/>
      <c r="B637" s="331" t="s">
        <v>597</v>
      </c>
      <c r="C637" s="99" t="s">
        <v>0</v>
      </c>
      <c r="D637" s="439">
        <f>D396</f>
        <v>0</v>
      </c>
      <c r="E637" s="245" t="str">
        <f>DEC2HEX(((D637)*2^(11)),8)</f>
        <v>00000000</v>
      </c>
      <c r="F637" s="456" t="s">
        <v>1121</v>
      </c>
      <c r="G637" s="809"/>
      <c r="H637" s="812"/>
      <c r="I637" s="815"/>
    </row>
    <row r="638" spans="1:9" s="8" customFormat="1" ht="15">
      <c r="A638" s="414"/>
      <c r="B638" s="331" t="s">
        <v>598</v>
      </c>
      <c r="C638" s="99" t="s">
        <v>0</v>
      </c>
      <c r="D638" s="439">
        <f>D397</f>
        <v>1</v>
      </c>
      <c r="E638" s="245" t="str">
        <f>DEC2HEX(((D638)*2^(10)),8)</f>
        <v>00000400</v>
      </c>
      <c r="F638" s="456" t="s">
        <v>1121</v>
      </c>
      <c r="G638" s="809"/>
      <c r="H638" s="812"/>
      <c r="I638" s="815"/>
    </row>
    <row r="639" spans="1:9" s="8" customFormat="1" ht="25.5">
      <c r="A639" s="414"/>
      <c r="B639" s="331" t="s">
        <v>599</v>
      </c>
      <c r="C639" s="99" t="s">
        <v>0</v>
      </c>
      <c r="D639" s="441">
        <v>1</v>
      </c>
      <c r="E639" s="245" t="str">
        <f>DEC2HEX(((D639)*2^(9)),8)</f>
        <v>00000200</v>
      </c>
      <c r="F639" s="456" t="s">
        <v>1121</v>
      </c>
      <c r="G639" s="809"/>
      <c r="H639" s="812"/>
      <c r="I639" s="815"/>
    </row>
    <row r="640" spans="1:9" s="8" customFormat="1" ht="25.5">
      <c r="A640" s="414"/>
      <c r="B640" s="331" t="s">
        <v>1397</v>
      </c>
      <c r="C640" s="99" t="s">
        <v>0</v>
      </c>
      <c r="D640" s="318">
        <f>D327</f>
        <v>0</v>
      </c>
      <c r="E640" s="245" t="str">
        <f>DEC2HEX(((D640)*2^(6)),8)</f>
        <v>00000000</v>
      </c>
      <c r="F640" s="456" t="s">
        <v>1121</v>
      </c>
      <c r="G640" s="809"/>
      <c r="H640" s="812"/>
      <c r="I640" s="815"/>
    </row>
    <row r="641" spans="1:10" s="8" customFormat="1" ht="25.5">
      <c r="A641" s="414"/>
      <c r="B641" s="331" t="s">
        <v>601</v>
      </c>
      <c r="C641" s="99" t="s">
        <v>0</v>
      </c>
      <c r="D641" s="441">
        <v>0</v>
      </c>
      <c r="E641" s="245" t="str">
        <f>DEC2HEX(((D641)*2^(5)),8)</f>
        <v>00000000</v>
      </c>
      <c r="F641" s="456" t="s">
        <v>1121</v>
      </c>
      <c r="G641" s="809"/>
      <c r="H641" s="812"/>
      <c r="I641" s="815"/>
    </row>
    <row r="642" spans="1:10" s="8" customFormat="1">
      <c r="A642" s="414"/>
      <c r="B642" s="331" t="s">
        <v>602</v>
      </c>
      <c r="C642" s="99" t="s">
        <v>0</v>
      </c>
      <c r="D642" s="441">
        <v>0</v>
      </c>
      <c r="E642" s="245" t="str">
        <f>DEC2HEX(((D642)*2^(4)),8)</f>
        <v>00000000</v>
      </c>
      <c r="F642" s="456" t="s">
        <v>1121</v>
      </c>
      <c r="G642" s="809"/>
      <c r="H642" s="812"/>
      <c r="I642" s="815"/>
    </row>
    <row r="643" spans="1:10" s="8" customFormat="1">
      <c r="A643" s="414"/>
      <c r="B643" s="331" t="s">
        <v>603</v>
      </c>
      <c r="C643" s="99" t="s">
        <v>0</v>
      </c>
      <c r="D643" s="441">
        <v>0</v>
      </c>
      <c r="E643" s="245" t="str">
        <f>DEC2HEX(((D643)*2^(3)),8)</f>
        <v>00000000</v>
      </c>
      <c r="F643" s="456" t="s">
        <v>1121</v>
      </c>
      <c r="G643" s="809"/>
      <c r="H643" s="812"/>
      <c r="I643" s="815"/>
    </row>
    <row r="644" spans="1:10" s="8" customFormat="1" ht="15.75" thickBot="1">
      <c r="A644" s="414"/>
      <c r="B644" s="332" t="s">
        <v>604</v>
      </c>
      <c r="C644" s="100" t="s">
        <v>0</v>
      </c>
      <c r="D644" s="438">
        <f>IF(D156=1, 2, 0)</f>
        <v>0</v>
      </c>
      <c r="E644" s="101" t="str">
        <f>DEC2HEX(((D644)*2^(0)),8)</f>
        <v>00000000</v>
      </c>
      <c r="F644" s="457" t="s">
        <v>1121</v>
      </c>
      <c r="G644" s="810"/>
      <c r="H644" s="813"/>
      <c r="I644" s="816"/>
    </row>
    <row r="645" spans="1:10" s="8" customFormat="1" ht="13.5" thickBot="1">
      <c r="A645" s="414"/>
      <c r="B645" s="240"/>
      <c r="C645" s="241"/>
      <c r="D645" s="214"/>
      <c r="E645" s="242"/>
      <c r="F645" s="243"/>
      <c r="G645" s="214"/>
      <c r="H645" s="214"/>
      <c r="I645" s="214"/>
    </row>
    <row r="646" spans="1:10" s="8" customFormat="1" ht="39" thickBot="1">
      <c r="A646" s="414"/>
      <c r="B646" s="327" t="s">
        <v>614</v>
      </c>
      <c r="C646" s="327" t="s">
        <v>5</v>
      </c>
      <c r="D646" s="327" t="s">
        <v>7</v>
      </c>
      <c r="E646" s="327" t="s">
        <v>6</v>
      </c>
      <c r="F646" s="328" t="s">
        <v>1</v>
      </c>
      <c r="G646" s="325" t="s">
        <v>3</v>
      </c>
      <c r="H646" s="326" t="s">
        <v>219</v>
      </c>
      <c r="I646" s="326" t="s">
        <v>4</v>
      </c>
    </row>
    <row r="647" spans="1:10" s="8" customFormat="1" ht="15">
      <c r="A647" s="414"/>
      <c r="B647" s="236" t="s">
        <v>622</v>
      </c>
      <c r="C647" s="153" t="s">
        <v>0</v>
      </c>
      <c r="D647" s="426">
        <f>IF(C34&lt;668, 0, IF(C34&lt;934, 1, IF(C34&lt;1201,2,IF(C34&lt;1334,3,4))))</f>
        <v>1</v>
      </c>
      <c r="E647" s="244" t="str">
        <f>DEC2HEX(((D647)*2^10),8)</f>
        <v>00000400</v>
      </c>
      <c r="F647" s="455" t="s">
        <v>1121</v>
      </c>
      <c r="G647" s="679" t="s">
        <v>1155</v>
      </c>
      <c r="H647" s="682" t="str">
        <f>"0x"&amp;DEC2HEX((HEX2DEC(C39)+236), 8)</f>
        <v>0x3D4020EC</v>
      </c>
      <c r="I647" s="685" t="str">
        <f>"0x"&amp;DEC2HEX((HEX2DEC(E647)+HEX2DEC(E648)+HEX2DEC(E649)+HEX2DEC(E650)), 8)</f>
        <v>0x00000410</v>
      </c>
    </row>
    <row r="648" spans="1:10" s="8" customFormat="1">
      <c r="A648" s="414"/>
      <c r="B648" s="238" t="s">
        <v>621</v>
      </c>
      <c r="C648" s="99" t="s">
        <v>0</v>
      </c>
      <c r="D648" s="444">
        <v>0</v>
      </c>
      <c r="E648" s="83" t="str">
        <f>DEC2HEX(((D648)*2^7),8)</f>
        <v>00000000</v>
      </c>
      <c r="F648" s="456" t="s">
        <v>1121</v>
      </c>
      <c r="G648" s="680"/>
      <c r="H648" s="683"/>
      <c r="I648" s="686"/>
    </row>
    <row r="649" spans="1:10" ht="15">
      <c r="A649" s="414"/>
      <c r="B649" s="238" t="s">
        <v>1403</v>
      </c>
      <c r="C649" s="99" t="s">
        <v>0</v>
      </c>
      <c r="D649" s="346">
        <f>D336</f>
        <v>0</v>
      </c>
      <c r="E649" s="83" t="str">
        <f>DEC2HEX(((D649)*2^6),8)</f>
        <v>00000000</v>
      </c>
      <c r="F649" s="456" t="s">
        <v>1121</v>
      </c>
      <c r="G649" s="680"/>
      <c r="H649" s="683"/>
      <c r="I649" s="686"/>
      <c r="J649" s="18"/>
    </row>
    <row r="650" spans="1:10" ht="15.75" thickBot="1">
      <c r="A650" s="414"/>
      <c r="B650" s="239" t="s">
        <v>1404</v>
      </c>
      <c r="C650" s="100" t="s">
        <v>0</v>
      </c>
      <c r="D650" s="646">
        <f>D337</f>
        <v>16</v>
      </c>
      <c r="E650" s="225" t="str">
        <f>DEC2HEX(((D650)*2^0),8)</f>
        <v>00000010</v>
      </c>
      <c r="F650" s="457" t="s">
        <v>1121</v>
      </c>
      <c r="G650" s="681"/>
      <c r="H650" s="684"/>
      <c r="I650" s="687"/>
      <c r="J650" s="18"/>
    </row>
    <row r="651" spans="1:10" ht="15.75" thickBot="1">
      <c r="A651" s="414"/>
      <c r="B651" s="240"/>
      <c r="C651" s="241"/>
      <c r="D651" s="113"/>
      <c r="E651" s="242"/>
      <c r="F651" s="71"/>
      <c r="G651" s="214"/>
      <c r="H651" s="214"/>
      <c r="I651" s="214"/>
      <c r="J651" s="18"/>
    </row>
    <row r="652" spans="1:10" ht="15">
      <c r="B652" s="57" t="s">
        <v>165</v>
      </c>
      <c r="C652" s="88">
        <v>14</v>
      </c>
      <c r="D652" s="87">
        <f>(C652) + D155 + D626</f>
        <v>14</v>
      </c>
      <c r="E652" s="507" t="str">
        <f>DEC2HEX(((D652)*2^8),8)</f>
        <v>00000E00</v>
      </c>
      <c r="F652" s="455" t="s">
        <v>1121</v>
      </c>
      <c r="G652" s="688" t="s">
        <v>1234</v>
      </c>
      <c r="H652" s="688" t="str">
        <f>"0x"&amp;DEC2HEX((HEX2DEC(C39)+244), 8)</f>
        <v>0x3D4020F4</v>
      </c>
      <c r="I652" s="660" t="str">
        <f>"0x"&amp;DEC2HEX((HEX2DEC(E652)+HEX2DEC(E653)+HEX2DEC(E654)), 8)</f>
        <v>0x00000EC7</v>
      </c>
    </row>
    <row r="653" spans="1:10" ht="15">
      <c r="B653" s="58" t="s">
        <v>166</v>
      </c>
      <c r="C653" s="89">
        <v>12</v>
      </c>
      <c r="D653" s="190">
        <f>(C653+D627)</f>
        <v>12</v>
      </c>
      <c r="E653" s="508" t="str">
        <f>DEC2HEX(((D653)*2^4),8)</f>
        <v>000000C0</v>
      </c>
      <c r="F653" s="456" t="s">
        <v>1121</v>
      </c>
      <c r="G653" s="693"/>
      <c r="H653" s="693"/>
      <c r="I653" s="694"/>
    </row>
    <row r="654" spans="1:10" s="8" customFormat="1" ht="13.5" thickBot="1">
      <c r="B654" s="59" t="s">
        <v>167</v>
      </c>
      <c r="C654" s="62" t="s">
        <v>0</v>
      </c>
      <c r="D654" s="63">
        <v>7</v>
      </c>
      <c r="E654" s="509" t="str">
        <f>DEC2HEX(((D654)*2^0),8)</f>
        <v>00000007</v>
      </c>
      <c r="F654" s="457" t="s">
        <v>1121</v>
      </c>
      <c r="G654" s="659"/>
      <c r="H654" s="659"/>
      <c r="I654" s="661"/>
    </row>
    <row r="655" spans="1:10" s="8" customFormat="1" ht="13.5" thickBot="1">
      <c r="B655"/>
      <c r="C655"/>
      <c r="D655"/>
      <c r="E655" s="1"/>
      <c r="F655"/>
      <c r="G655" s="1"/>
      <c r="H655" s="1"/>
      <c r="I655" s="1"/>
    </row>
    <row r="656" spans="1:10" s="8" customFormat="1" ht="15.75" thickBot="1">
      <c r="B656" s="698" t="s">
        <v>1138</v>
      </c>
      <c r="C656" s="699"/>
      <c r="D656" s="699"/>
      <c r="E656" s="699"/>
      <c r="F656" s="699"/>
      <c r="G656" s="699"/>
      <c r="H656" s="699"/>
      <c r="I656" s="700"/>
    </row>
    <row r="657" spans="1:22" s="8" customFormat="1" ht="15">
      <c r="B657" s="447"/>
      <c r="C657" s="447"/>
      <c r="D657" s="447"/>
      <c r="E657" s="447"/>
      <c r="F657" s="447"/>
      <c r="G657" s="447"/>
      <c r="H657" s="447"/>
      <c r="I657" s="447"/>
    </row>
    <row r="658" spans="1:22" s="8" customFormat="1" ht="15">
      <c r="B658" s="275" t="s">
        <v>1097</v>
      </c>
      <c r="C658" s="448" t="str">
        <f>"0x"&amp;DEC2HEX((HEX2DEC(E273)+HEX2DEC(E274)+HEX2DEC(E275)+HEX2DEC(E276)+HEX2DEC(E277)+HEX2DEC(E278)+HEX2DEC(E279)+HEX2DEC(E280)+HEX2DEC(E281)+HEX2DEC(E282)+HEX2DEC(E283)+HEX2DEC(E284)+HEX2DEC(E285))/65536,4)</f>
        <v>0x0C50</v>
      </c>
      <c r="D658" s="656" t="s">
        <v>1139</v>
      </c>
      <c r="E658" s="656"/>
      <c r="F658" s="656"/>
      <c r="G658" s="656"/>
      <c r="H658" s="656"/>
      <c r="I658" s="656"/>
    </row>
    <row r="659" spans="1:22" ht="15">
      <c r="B659" s="275" t="s">
        <v>1098</v>
      </c>
      <c r="C659" s="448" t="str">
        <f>"0x"&amp;DEC2HEX((HEX2DEC(E286)+HEX2DEC(E287)+HEX2DEC(E288)+HEX2DEC(E289)+HEX2DEC(E290)+HEX2DEC(E291)+HEX2DEC(E292)),4)</f>
        <v>0x0501</v>
      </c>
      <c r="D659" s="656" t="s">
        <v>1139</v>
      </c>
      <c r="E659" s="656"/>
      <c r="F659" s="656"/>
      <c r="G659" s="656"/>
      <c r="H659" s="656"/>
      <c r="I659" s="656"/>
    </row>
    <row r="660" spans="1:22" ht="15">
      <c r="B660" s="275" t="s">
        <v>1099</v>
      </c>
      <c r="C660" s="448" t="str">
        <f>"0x"&amp;DEC2HEX((HEX2DEC(E295)+HEX2DEC(E296)+HEX2DEC(E297)+HEX2DEC(E298))/65536,4)</f>
        <v>0x0028</v>
      </c>
      <c r="D660" s="656" t="s">
        <v>1141</v>
      </c>
      <c r="E660" s="656"/>
      <c r="F660" s="656"/>
      <c r="G660" s="656"/>
      <c r="H660" s="656"/>
      <c r="I660" s="656"/>
    </row>
    <row r="661" spans="1:22" ht="15">
      <c r="B661" s="275" t="s">
        <v>1100</v>
      </c>
      <c r="C661" s="448" t="str">
        <f>"0x"&amp;DEC2HEX((HEX2DEC(E299)+HEX2DEC(E300)+HEX2DEC(E301)+HEX2DEC(E302)+HEX2DEC(E303)+HEX2DEC(E304)+HEX2DEC(E305)+HEX2DEC(E306)),4)</f>
        <v>0x0400</v>
      </c>
      <c r="D661" s="656" t="s">
        <v>1141</v>
      </c>
      <c r="E661" s="656"/>
      <c r="F661" s="656"/>
      <c r="G661" s="656"/>
      <c r="H661" s="656"/>
      <c r="I661" s="656"/>
    </row>
    <row r="662" spans="1:22" ht="15">
      <c r="B662" s="275" t="s">
        <v>1101</v>
      </c>
      <c r="C662" s="448" t="str">
        <f>"0x"&amp;DEC2HEX((HEX2DEC(E312)+HEX2DEC(E313)+HEX2DEC(E314)+HEX2DEC(E315)+HEX2DEC(E316)+HEX2DEC(E317)+HEX2DEC(E318)+HEX2DEC(E319)+HEX2DEC(E320)+HEX2DEC(E321)+HEX2DEC(E322))/65536,4)</f>
        <v>0x0200</v>
      </c>
      <c r="D662" s="656" t="s">
        <v>1142</v>
      </c>
      <c r="E662" s="656"/>
      <c r="F662" s="656"/>
      <c r="G662" s="656"/>
      <c r="H662" s="656"/>
      <c r="I662" s="656"/>
    </row>
    <row r="663" spans="1:22" s="8" customFormat="1" ht="15">
      <c r="B663" s="275" t="s">
        <v>1102</v>
      </c>
      <c r="C663" s="448" t="str">
        <f>"0x"&amp;DEC2HEX((HEX2DEC(E323)+HEX2DEC(E324)+HEX2DEC(E325)+HEX2DEC(E326)+HEX2DEC(E327)+HEX2DEC(E328)+HEX2DEC(E329)+HEX2DEC(E330)+HEX2DEC(E331)),4)</f>
        <v>0x0600</v>
      </c>
      <c r="D663" s="656" t="s">
        <v>1142</v>
      </c>
      <c r="E663" s="656"/>
      <c r="F663" s="656"/>
      <c r="G663" s="656"/>
      <c r="H663" s="656"/>
      <c r="I663" s="656"/>
    </row>
    <row r="664" spans="1:22" s="8" customFormat="1" ht="15">
      <c r="B664" s="275" t="s">
        <v>1103</v>
      </c>
      <c r="C664" s="448" t="str">
        <f>"0x"&amp;DEC2HEX((HEX2DEC(E334)+HEX2DEC(E335)+HEX2DEC(E336)+HEX2DEC(E337)),4)</f>
        <v>0x1010</v>
      </c>
      <c r="D664" s="656" t="s">
        <v>1140</v>
      </c>
      <c r="E664" s="656"/>
      <c r="F664" s="656"/>
      <c r="G664" s="656"/>
      <c r="H664" s="656"/>
      <c r="I664" s="656"/>
    </row>
    <row r="665" spans="1:22" s="8" customFormat="1">
      <c r="B665" s="316"/>
      <c r="C665"/>
      <c r="D665"/>
      <c r="E665" s="1"/>
      <c r="F665"/>
      <c r="G665" s="1"/>
      <c r="H665" s="1"/>
      <c r="I665" s="1"/>
    </row>
    <row r="666" spans="1:22" s="8" customFormat="1" ht="15">
      <c r="B666" s="275" t="s">
        <v>1104</v>
      </c>
      <c r="C666" s="466" t="str">
        <f>"0x"&amp;DEC2HEX((HEX2DEC(E589)+HEX2DEC(E590)+HEX2DEC(E591)+HEX2DEC(E592)+HEX2DEC(E593)+HEX2DEC(E594)+HEX2DEC(E595)+HEX2DEC(E596)+HEX2DEC(E597)+HEX2DEC(E598)+HEX2DEC(E599)+HEX2DEC(E600)+HEX2DEC(E601))/65536,4)</f>
        <v>0x0004</v>
      </c>
      <c r="D666" s="656" t="s">
        <v>1156</v>
      </c>
      <c r="E666" s="656"/>
      <c r="F666" s="656"/>
      <c r="G666" s="656"/>
      <c r="H666" s="656"/>
      <c r="I666" s="656"/>
    </row>
    <row r="667" spans="1:22" ht="15">
      <c r="B667" s="275" t="s">
        <v>1105</v>
      </c>
      <c r="C667" s="466" t="str">
        <f>"0x"&amp;DEC2HEX((HEX2DEC(E602)+HEX2DEC(E603)+HEX2DEC(E604)+HEX2DEC(E605)+HEX2DEC(E606)+HEX2DEC(E607)+HEX2DEC(E608)),4)</f>
        <v>0x0501</v>
      </c>
      <c r="D667" s="656" t="s">
        <v>1156</v>
      </c>
      <c r="E667" s="656"/>
      <c r="F667" s="656"/>
      <c r="G667" s="656"/>
      <c r="H667" s="656"/>
      <c r="I667" s="656"/>
    </row>
    <row r="668" spans="1:22" ht="15">
      <c r="B668" s="275" t="s">
        <v>1106</v>
      </c>
      <c r="C668" s="466" t="str">
        <f>"0x"&amp;DEC2HEX((HEX2DEC(E611)+HEX2DEC(E612)+HEX2DEC(E613)+HEX2DEC(E614))/65536,4)</f>
        <v>0x0000</v>
      </c>
      <c r="D668" s="656" t="s">
        <v>1157</v>
      </c>
      <c r="E668" s="656"/>
      <c r="F668" s="656"/>
      <c r="G668" s="656"/>
      <c r="H668" s="656"/>
      <c r="I668" s="656"/>
    </row>
    <row r="669" spans="1:22" ht="15">
      <c r="B669" s="275" t="s">
        <v>1107</v>
      </c>
      <c r="C669" s="466" t="str">
        <f>"0x"&amp;DEC2HEX((HEX2DEC(E615)+HEX2DEC(E616)+HEX2DEC(E617)+HEX2DEC(E618)+HEX2DEC(E619)+HEX2DEC(E620)+HEX2DEC(E621)+HEX2DEC(E622)),4)</f>
        <v>0x0000</v>
      </c>
      <c r="D669" s="656" t="s">
        <v>1157</v>
      </c>
      <c r="E669" s="656"/>
      <c r="F669" s="656"/>
      <c r="G669" s="656"/>
      <c r="H669" s="656"/>
      <c r="I669" s="656"/>
    </row>
    <row r="670" spans="1:22" s="12" customFormat="1" ht="15">
      <c r="B670" s="275" t="s">
        <v>1108</v>
      </c>
      <c r="C670" s="466" t="str">
        <f>"0x"&amp;DEC2HEX((HEX2DEC(E625)+HEX2DEC(E626)+HEX2DEC(E627)+HEX2DEC(E628)+HEX2DEC(E629)+HEX2DEC(E630)+HEX2DEC(E631)+HEX2DEC(E632)+HEX2DEC(E633)+HEX2DEC(E634)+HEX2DEC(E635))/65536,4)</f>
        <v>0x0200</v>
      </c>
      <c r="D670" s="656" t="s">
        <v>1158</v>
      </c>
      <c r="E670" s="656"/>
      <c r="F670" s="656"/>
      <c r="G670" s="656"/>
      <c r="H670" s="656"/>
      <c r="I670" s="656"/>
    </row>
    <row r="671" spans="1:22" ht="29.25" customHeight="1">
      <c r="A671"/>
      <c r="B671" s="275" t="s">
        <v>1109</v>
      </c>
      <c r="C671" s="466" t="str">
        <f>"0x"&amp;DEC2HEX((HEX2DEC(E636)+HEX2DEC(E637)+HEX2DEC(E638)+HEX2DEC(E639)+HEX2DEC(E640)+HEX2DEC(E641)+HEX2DEC(E642)+HEX2DEC(E643)+HEX2DEC(E644)),4)</f>
        <v>0x0600</v>
      </c>
      <c r="D671" s="656" t="s">
        <v>1158</v>
      </c>
      <c r="E671" s="656"/>
      <c r="F671" s="656"/>
      <c r="G671" s="656"/>
      <c r="H671" s="656"/>
      <c r="I671" s="656"/>
      <c r="K671"/>
      <c r="L671"/>
      <c r="M671"/>
      <c r="N671"/>
      <c r="O671"/>
      <c r="P671"/>
      <c r="Q671"/>
      <c r="R671" s="3"/>
      <c r="S671" s="3"/>
      <c r="T671" s="3"/>
      <c r="U671"/>
      <c r="V671"/>
    </row>
    <row r="672" spans="1:22" ht="26.25" customHeight="1">
      <c r="A672"/>
      <c r="B672" s="275" t="s">
        <v>1110</v>
      </c>
      <c r="C672" s="466" t="str">
        <f>"0x"&amp;DEC2HEX((HEX2DEC(E647)+HEX2DEC(E648)+HEX2DEC(E649)+HEX2DEC(E650)),4)</f>
        <v>0x0410</v>
      </c>
      <c r="D672" s="656" t="s">
        <v>1159</v>
      </c>
      <c r="E672" s="656"/>
      <c r="F672" s="656"/>
      <c r="G672" s="656"/>
      <c r="H672" s="656"/>
      <c r="I672" s="656"/>
      <c r="K672"/>
      <c r="L672"/>
      <c r="M672"/>
      <c r="N672"/>
      <c r="O672"/>
      <c r="P672"/>
      <c r="Q672"/>
      <c r="R672"/>
      <c r="S672"/>
      <c r="T672"/>
      <c r="U672"/>
      <c r="V672"/>
    </row>
    <row r="673" spans="1:22" ht="28.5" customHeight="1">
      <c r="A673"/>
      <c r="B673" s="461"/>
      <c r="C673" s="465"/>
      <c r="D673" s="464"/>
      <c r="E673" s="464"/>
      <c r="F673" s="464"/>
      <c r="G673" s="464"/>
      <c r="H673" s="464"/>
      <c r="I673" s="464"/>
      <c r="K673"/>
      <c r="L673"/>
      <c r="M673"/>
      <c r="N673"/>
      <c r="O673"/>
      <c r="P673"/>
      <c r="Q673"/>
      <c r="R673"/>
      <c r="S673"/>
      <c r="T673"/>
      <c r="U673"/>
      <c r="V673"/>
    </row>
    <row r="674" spans="1:22" ht="15">
      <c r="A674"/>
      <c r="B674" s="275" t="s">
        <v>1081</v>
      </c>
      <c r="C674" s="346">
        <f>G17</f>
        <v>30</v>
      </c>
      <c r="D674" s="654" t="s">
        <v>1181</v>
      </c>
      <c r="E674" s="655"/>
      <c r="F674" s="655"/>
      <c r="G674" s="655"/>
      <c r="H674" s="655"/>
      <c r="I674" s="655"/>
      <c r="K674"/>
      <c r="L674"/>
      <c r="M674"/>
      <c r="N674"/>
      <c r="O674"/>
      <c r="P674"/>
      <c r="Q674"/>
      <c r="R674"/>
      <c r="S674"/>
      <c r="T674"/>
      <c r="U674"/>
      <c r="V674"/>
    </row>
    <row r="675" spans="1:22" ht="27" customHeight="1">
      <c r="A675"/>
      <c r="B675" s="275" t="s">
        <v>1082</v>
      </c>
      <c r="C675" s="346">
        <f>G19</f>
        <v>48</v>
      </c>
      <c r="D675" s="654" t="s">
        <v>1219</v>
      </c>
      <c r="E675" s="655"/>
      <c r="F675" s="655"/>
      <c r="G675" s="655"/>
      <c r="H675" s="655"/>
      <c r="I675" s="655"/>
      <c r="K675"/>
      <c r="L675"/>
      <c r="M675"/>
      <c r="N675"/>
      <c r="O675"/>
      <c r="P675"/>
      <c r="Q675"/>
      <c r="R675"/>
      <c r="S675"/>
      <c r="T675"/>
      <c r="U675"/>
      <c r="V675"/>
    </row>
    <row r="676" spans="1:22" ht="28.5" customHeight="1">
      <c r="A676"/>
      <c r="B676" s="275" t="s">
        <v>1399</v>
      </c>
      <c r="C676" s="346">
        <f>G21</f>
        <v>34</v>
      </c>
      <c r="D676" s="654" t="s">
        <v>1182</v>
      </c>
      <c r="E676" s="655"/>
      <c r="F676" s="655"/>
      <c r="G676" s="655"/>
      <c r="H676" s="655"/>
      <c r="I676" s="655"/>
      <c r="K676"/>
      <c r="L676"/>
      <c r="M676"/>
      <c r="N676"/>
      <c r="O676"/>
      <c r="P676"/>
      <c r="Q676"/>
      <c r="R676"/>
      <c r="S676"/>
      <c r="T676"/>
      <c r="U676"/>
      <c r="V676"/>
    </row>
    <row r="677" spans="1:22">
      <c r="A677"/>
      <c r="C677" s="463"/>
      <c r="K677"/>
      <c r="L677"/>
      <c r="M677"/>
      <c r="N677"/>
      <c r="O677"/>
      <c r="P677"/>
      <c r="Q677"/>
      <c r="R677"/>
      <c r="S677"/>
      <c r="T677"/>
      <c r="U677"/>
      <c r="V677"/>
    </row>
    <row r="678" spans="1:22">
      <c r="A678"/>
      <c r="B678" s="275" t="s">
        <v>1165</v>
      </c>
      <c r="C678" s="267" t="s">
        <v>1111</v>
      </c>
      <c r="D678" s="654" t="s">
        <v>1166</v>
      </c>
      <c r="E678" s="655"/>
      <c r="F678" s="655"/>
      <c r="G678" s="655"/>
      <c r="H678" s="655"/>
      <c r="I678" s="655"/>
      <c r="K678"/>
      <c r="L678"/>
      <c r="M678"/>
      <c r="N678"/>
      <c r="O678"/>
      <c r="P678"/>
      <c r="Q678"/>
      <c r="R678"/>
      <c r="S678"/>
      <c r="T678"/>
      <c r="U678"/>
      <c r="V678"/>
    </row>
    <row r="679" spans="1:22">
      <c r="A679"/>
      <c r="B679" s="275" t="s">
        <v>1085</v>
      </c>
      <c r="C679" s="267" t="s">
        <v>1111</v>
      </c>
      <c r="D679" s="654" t="s">
        <v>1167</v>
      </c>
      <c r="E679" s="655"/>
      <c r="F679" s="655"/>
      <c r="G679" s="655"/>
      <c r="H679" s="655"/>
      <c r="I679" s="655"/>
      <c r="K679"/>
      <c r="L679"/>
      <c r="M679"/>
      <c r="N679"/>
      <c r="O679"/>
      <c r="P679"/>
      <c r="Q679"/>
      <c r="R679"/>
      <c r="S679"/>
      <c r="T679"/>
      <c r="U679"/>
      <c r="V679"/>
    </row>
    <row r="680" spans="1:22">
      <c r="A680"/>
      <c r="B680" s="467"/>
      <c r="C680" s="463"/>
      <c r="K680"/>
      <c r="L680"/>
      <c r="M680"/>
      <c r="N680"/>
      <c r="O680"/>
      <c r="P680"/>
      <c r="Q680"/>
      <c r="R680"/>
      <c r="S680"/>
      <c r="T680"/>
      <c r="U680"/>
      <c r="V680"/>
    </row>
    <row r="681" spans="1:22">
      <c r="A681"/>
      <c r="B681" s="275" t="s">
        <v>1086</v>
      </c>
      <c r="C681" s="275" t="s">
        <v>1256</v>
      </c>
      <c r="D681" s="656" t="s">
        <v>1168</v>
      </c>
      <c r="E681" s="657"/>
      <c r="F681" s="657"/>
      <c r="G681" s="657"/>
      <c r="H681" s="657"/>
      <c r="I681" s="657"/>
      <c r="K681"/>
      <c r="L681"/>
      <c r="M681"/>
      <c r="N681"/>
      <c r="O681"/>
      <c r="P681"/>
      <c r="Q681"/>
      <c r="R681"/>
      <c r="S681"/>
      <c r="T681"/>
      <c r="U681"/>
      <c r="V681"/>
    </row>
    <row r="682" spans="1:22">
      <c r="B682" s="275" t="s">
        <v>1087</v>
      </c>
      <c r="C682" s="275" t="s">
        <v>1257</v>
      </c>
      <c r="D682" s="656" t="s">
        <v>1169</v>
      </c>
      <c r="E682" s="657"/>
      <c r="F682" s="657"/>
      <c r="G682" s="657"/>
      <c r="H682" s="657"/>
      <c r="I682" s="657"/>
    </row>
    <row r="683" spans="1:22">
      <c r="A683"/>
      <c r="B683" s="275" t="s">
        <v>1088</v>
      </c>
      <c r="C683" s="275" t="s">
        <v>1220</v>
      </c>
      <c r="D683" s="656" t="s">
        <v>1170</v>
      </c>
      <c r="E683" s="657"/>
      <c r="F683" s="657"/>
      <c r="G683" s="657"/>
      <c r="H683" s="657"/>
      <c r="I683" s="657"/>
      <c r="K683"/>
      <c r="L683"/>
      <c r="M683"/>
      <c r="N683"/>
      <c r="O683"/>
      <c r="P683"/>
      <c r="Q683"/>
      <c r="R683"/>
      <c r="S683"/>
      <c r="T683"/>
      <c r="U683"/>
      <c r="V683"/>
    </row>
    <row r="684" spans="1:22" ht="27.75" customHeight="1">
      <c r="A684"/>
      <c r="B684" s="275" t="s">
        <v>1089</v>
      </c>
      <c r="C684" s="275" t="s">
        <v>1220</v>
      </c>
      <c r="D684" s="656" t="s">
        <v>1171</v>
      </c>
      <c r="E684" s="657"/>
      <c r="F684" s="657"/>
      <c r="G684" s="657"/>
      <c r="H684" s="657"/>
      <c r="I684" s="657"/>
      <c r="K684"/>
      <c r="L684"/>
      <c r="M684"/>
      <c r="N684"/>
      <c r="O684"/>
      <c r="P684"/>
      <c r="Q684"/>
      <c r="R684"/>
      <c r="S684"/>
      <c r="T684"/>
      <c r="U684"/>
      <c r="V684"/>
    </row>
    <row r="685" spans="1:22">
      <c r="A685"/>
      <c r="K685"/>
      <c r="L685"/>
      <c r="M685"/>
      <c r="N685"/>
      <c r="O685"/>
      <c r="P685"/>
      <c r="Q685"/>
      <c r="R685"/>
      <c r="S685"/>
      <c r="T685"/>
      <c r="U685"/>
      <c r="V685"/>
    </row>
    <row r="686" spans="1:22">
      <c r="A686"/>
      <c r="B686" s="275" t="s">
        <v>1090</v>
      </c>
      <c r="C686" s="275" t="s">
        <v>1112</v>
      </c>
      <c r="D686" s="656" t="s">
        <v>1172</v>
      </c>
      <c r="E686" s="657"/>
      <c r="F686" s="657"/>
      <c r="G686" s="657"/>
      <c r="H686" s="657"/>
      <c r="I686" s="657"/>
      <c r="K686"/>
      <c r="L686"/>
      <c r="M686"/>
      <c r="N686"/>
      <c r="O686"/>
      <c r="P686"/>
      <c r="Q686"/>
      <c r="R686"/>
      <c r="S686"/>
      <c r="T686"/>
      <c r="U686"/>
      <c r="V686"/>
    </row>
    <row r="687" spans="1:22" s="12" customFormat="1">
      <c r="B687" s="275" t="s">
        <v>1173</v>
      </c>
      <c r="C687" s="275" t="s">
        <v>1111</v>
      </c>
      <c r="D687" s="654" t="s">
        <v>1174</v>
      </c>
      <c r="E687" s="655"/>
      <c r="F687" s="655"/>
      <c r="G687" s="655"/>
      <c r="H687" s="655"/>
      <c r="I687" s="655"/>
    </row>
    <row r="688" spans="1:22" ht="15" customHeight="1">
      <c r="A688"/>
      <c r="B688" s="316"/>
      <c r="K688"/>
      <c r="L688"/>
      <c r="M688"/>
      <c r="N688"/>
      <c r="O688"/>
      <c r="P688"/>
      <c r="Q688"/>
      <c r="R688"/>
      <c r="S688"/>
      <c r="T688"/>
      <c r="U688"/>
      <c r="V688"/>
    </row>
    <row r="689" spans="1:22" s="104" customFormat="1">
      <c r="B689" s="275" t="s">
        <v>1160</v>
      </c>
      <c r="C689" s="460" t="s">
        <v>1244</v>
      </c>
      <c r="D689" s="654" t="s">
        <v>1161</v>
      </c>
      <c r="E689" s="655"/>
      <c r="F689" s="655"/>
      <c r="G689" s="655"/>
      <c r="H689" s="655"/>
      <c r="I689" s="655"/>
    </row>
    <row r="690" spans="1:22">
      <c r="A690"/>
      <c r="B690" s="461"/>
      <c r="C690" s="461"/>
      <c r="D690" s="462"/>
      <c r="E690" s="440"/>
      <c r="F690" s="440"/>
      <c r="G690" s="440"/>
      <c r="H690" s="440"/>
      <c r="I690" s="440"/>
      <c r="K690"/>
      <c r="L690"/>
      <c r="M690"/>
      <c r="N690"/>
      <c r="O690"/>
      <c r="P690"/>
      <c r="Q690"/>
      <c r="R690"/>
      <c r="S690"/>
      <c r="T690"/>
      <c r="U690"/>
      <c r="V690"/>
    </row>
    <row r="691" spans="1:22" ht="15">
      <c r="B691" s="275" t="s">
        <v>1033</v>
      </c>
      <c r="C691" s="346" t="str">
        <f>IF(C23=2, "0x3", "0x1")</f>
        <v>0x1</v>
      </c>
      <c r="D691" s="654" t="s">
        <v>1143</v>
      </c>
      <c r="E691" s="654"/>
      <c r="F691" s="654"/>
      <c r="G691" s="654"/>
      <c r="H691" s="654"/>
      <c r="I691" s="654"/>
    </row>
    <row r="692" spans="1:22" ht="15">
      <c r="A692"/>
      <c r="B692" s="372"/>
      <c r="C692" s="113"/>
      <c r="D692" s="43"/>
      <c r="E692" s="449"/>
      <c r="F692" s="449"/>
      <c r="G692" s="449"/>
      <c r="H692" s="449"/>
      <c r="I692" s="449"/>
      <c r="K692"/>
      <c r="L692"/>
      <c r="M692"/>
      <c r="N692"/>
      <c r="O692"/>
      <c r="P692"/>
      <c r="Q692"/>
      <c r="R692"/>
      <c r="S692"/>
      <c r="T692"/>
      <c r="U692"/>
      <c r="V692"/>
    </row>
    <row r="693" spans="1:22" ht="15">
      <c r="A693"/>
      <c r="B693" s="275" t="s">
        <v>1015</v>
      </c>
      <c r="C693" s="346">
        <f>C31</f>
        <v>32</v>
      </c>
      <c r="D693" s="654" t="s">
        <v>1116</v>
      </c>
      <c r="E693" s="655"/>
      <c r="F693" s="655"/>
      <c r="G693" s="655"/>
      <c r="H693" s="655"/>
      <c r="I693" s="655"/>
      <c r="K693"/>
      <c r="L693"/>
      <c r="M693"/>
      <c r="N693"/>
      <c r="O693"/>
      <c r="P693"/>
      <c r="Q693"/>
      <c r="R693"/>
      <c r="S693"/>
      <c r="T693"/>
      <c r="U693"/>
      <c r="V693"/>
    </row>
    <row r="695" spans="1:22" ht="66.75" customHeight="1">
      <c r="A695"/>
      <c r="B695" s="275" t="s">
        <v>1079</v>
      </c>
      <c r="C695" s="346" t="str">
        <f>IF(D314=0, "0x0", "0x1")</f>
        <v>0x0</v>
      </c>
      <c r="D695" s="654" t="s">
        <v>1162</v>
      </c>
      <c r="E695" s="655"/>
      <c r="F695" s="655"/>
      <c r="G695" s="655"/>
      <c r="H695" s="655"/>
      <c r="I695" s="655"/>
      <c r="K695"/>
      <c r="L695"/>
      <c r="M695"/>
      <c r="N695"/>
      <c r="O695"/>
      <c r="P695"/>
      <c r="Q695"/>
      <c r="R695"/>
      <c r="S695"/>
      <c r="T695"/>
      <c r="U695"/>
      <c r="V695"/>
    </row>
    <row r="696" spans="1:22" ht="15">
      <c r="B696" s="275" t="s">
        <v>1080</v>
      </c>
      <c r="C696" s="346" t="str">
        <f>IF(D313=0, "0x0", "0x1")</f>
        <v>0x0</v>
      </c>
      <c r="D696" s="654" t="s">
        <v>1163</v>
      </c>
      <c r="E696" s="655"/>
      <c r="F696" s="655"/>
      <c r="G696" s="655"/>
      <c r="H696" s="655"/>
      <c r="I696" s="655"/>
    </row>
    <row r="698" spans="1:22" ht="15">
      <c r="B698" s="275" t="s">
        <v>1050</v>
      </c>
      <c r="C698" s="346" t="str">
        <f>IF(D344=1, "0x02", "0x00")</f>
        <v>0x00</v>
      </c>
      <c r="D698" s="654" t="s">
        <v>1183</v>
      </c>
      <c r="E698" s="655"/>
      <c r="F698" s="655"/>
      <c r="G698" s="655"/>
      <c r="H698" s="655"/>
      <c r="I698" s="655"/>
    </row>
  </sheetData>
  <mergeCells count="391">
    <mergeCell ref="F273:F276"/>
    <mergeCell ref="F279:F283"/>
    <mergeCell ref="G273:G292"/>
    <mergeCell ref="I169:I179"/>
    <mergeCell ref="G181:G187"/>
    <mergeCell ref="H181:H187"/>
    <mergeCell ref="I181:I187"/>
    <mergeCell ref="H516:H519"/>
    <mergeCell ref="I516:I519"/>
    <mergeCell ref="H390:H391"/>
    <mergeCell ref="I390:I391"/>
    <mergeCell ref="G390:G391"/>
    <mergeCell ref="G384:G388"/>
    <mergeCell ref="H384:H388"/>
    <mergeCell ref="I384:I388"/>
    <mergeCell ref="G357:G361"/>
    <mergeCell ref="H357:H361"/>
    <mergeCell ref="G244:G245"/>
    <mergeCell ref="G241:G242"/>
    <mergeCell ref="H241:H242"/>
    <mergeCell ref="I241:I242"/>
    <mergeCell ref="G440:G443"/>
    <mergeCell ref="H440:H443"/>
    <mergeCell ref="I440:I443"/>
    <mergeCell ref="H403:H408"/>
    <mergeCell ref="I403:I408"/>
    <mergeCell ref="B3:J3"/>
    <mergeCell ref="H257:H260"/>
    <mergeCell ref="I257:I260"/>
    <mergeCell ref="J257:J260"/>
    <mergeCell ref="I395:I397"/>
    <mergeCell ref="G395:G397"/>
    <mergeCell ref="H395:H397"/>
    <mergeCell ref="H379:H382"/>
    <mergeCell ref="I379:I382"/>
    <mergeCell ref="H363:H364"/>
    <mergeCell ref="I363:I364"/>
    <mergeCell ref="J264:J267"/>
    <mergeCell ref="H273:H292"/>
    <mergeCell ref="I273:I292"/>
    <mergeCell ref="B270:I270"/>
    <mergeCell ref="I264:I267"/>
    <mergeCell ref="F40:G40"/>
    <mergeCell ref="G169:G179"/>
    <mergeCell ref="H169:H179"/>
    <mergeCell ref="G257:G260"/>
    <mergeCell ref="G219:G221"/>
    <mergeCell ref="G223:G224"/>
    <mergeCell ref="J547:J550"/>
    <mergeCell ref="B401:I401"/>
    <mergeCell ref="I422:I427"/>
    <mergeCell ref="H422:H427"/>
    <mergeCell ref="G422:G427"/>
    <mergeCell ref="G415:G416"/>
    <mergeCell ref="H415:H416"/>
    <mergeCell ref="I415:I416"/>
    <mergeCell ref="G412:G413"/>
    <mergeCell ref="G429:G431"/>
    <mergeCell ref="H429:H431"/>
    <mergeCell ref="I429:I431"/>
    <mergeCell ref="I433:I438"/>
    <mergeCell ref="H433:H438"/>
    <mergeCell ref="H412:H413"/>
    <mergeCell ref="G403:G408"/>
    <mergeCell ref="G516:G519"/>
    <mergeCell ref="I418:I419"/>
    <mergeCell ref="I521:I524"/>
    <mergeCell ref="G529:G532"/>
    <mergeCell ref="H529:H532"/>
    <mergeCell ref="G521:G524"/>
    <mergeCell ref="H521:H524"/>
    <mergeCell ref="G433:G438"/>
    <mergeCell ref="J580:J583"/>
    <mergeCell ref="D595:D599"/>
    <mergeCell ref="F595:F599"/>
    <mergeCell ref="G611:G622"/>
    <mergeCell ref="H611:H622"/>
    <mergeCell ref="I611:I622"/>
    <mergeCell ref="G625:G644"/>
    <mergeCell ref="H625:H644"/>
    <mergeCell ref="I625:I644"/>
    <mergeCell ref="G589:G608"/>
    <mergeCell ref="H589:H608"/>
    <mergeCell ref="I589:I608"/>
    <mergeCell ref="F589:F592"/>
    <mergeCell ref="D693:I693"/>
    <mergeCell ref="G445:G449"/>
    <mergeCell ref="H445:H449"/>
    <mergeCell ref="I445:I449"/>
    <mergeCell ref="G451:G452"/>
    <mergeCell ref="H451:H452"/>
    <mergeCell ref="I451:I452"/>
    <mergeCell ref="G491:G494"/>
    <mergeCell ref="H491:H494"/>
    <mergeCell ref="I491:I494"/>
    <mergeCell ref="G463:G471"/>
    <mergeCell ref="H463:H471"/>
    <mergeCell ref="I463:I471"/>
    <mergeCell ref="G477:G485"/>
    <mergeCell ref="H477:H485"/>
    <mergeCell ref="I477:I485"/>
    <mergeCell ref="G487:G489"/>
    <mergeCell ref="H487:H489"/>
    <mergeCell ref="I487:I489"/>
    <mergeCell ref="B496:I496"/>
    <mergeCell ref="G498:G501"/>
    <mergeCell ref="G534:G537"/>
    <mergeCell ref="H534:H537"/>
    <mergeCell ref="I534:I537"/>
    <mergeCell ref="K380:K382"/>
    <mergeCell ref="G379:G382"/>
    <mergeCell ref="G312:G331"/>
    <mergeCell ref="H312:H331"/>
    <mergeCell ref="I312:I331"/>
    <mergeCell ref="G339:G345"/>
    <mergeCell ref="H339:H345"/>
    <mergeCell ref="I339:I345"/>
    <mergeCell ref="J380:J382"/>
    <mergeCell ref="G350:G355"/>
    <mergeCell ref="H350:H355"/>
    <mergeCell ref="I350:I355"/>
    <mergeCell ref="B347:I347"/>
    <mergeCell ref="G334:G337"/>
    <mergeCell ref="G368:G374"/>
    <mergeCell ref="H368:H374"/>
    <mergeCell ref="I368:I374"/>
    <mergeCell ref="G376:G377"/>
    <mergeCell ref="H376:H377"/>
    <mergeCell ref="I376:I377"/>
    <mergeCell ref="G363:G364"/>
    <mergeCell ref="I357:I361"/>
    <mergeCell ref="H334:H337"/>
    <mergeCell ref="I334:I337"/>
    <mergeCell ref="H223:H224"/>
    <mergeCell ref="B263:I263"/>
    <mergeCell ref="G264:G267"/>
    <mergeCell ref="H264:H267"/>
    <mergeCell ref="I254:I255"/>
    <mergeCell ref="H254:H255"/>
    <mergeCell ref="G254:G255"/>
    <mergeCell ref="I247:I252"/>
    <mergeCell ref="H247:H252"/>
    <mergeCell ref="G247:G252"/>
    <mergeCell ref="H231:H234"/>
    <mergeCell ref="I231:I234"/>
    <mergeCell ref="I219:I221"/>
    <mergeCell ref="B5:J5"/>
    <mergeCell ref="C32:D32"/>
    <mergeCell ref="C22:D22"/>
    <mergeCell ref="B42:D42"/>
    <mergeCell ref="C21:D21"/>
    <mergeCell ref="I244:I245"/>
    <mergeCell ref="G95:G100"/>
    <mergeCell ref="H95:H100"/>
    <mergeCell ref="I95:I100"/>
    <mergeCell ref="H209:H212"/>
    <mergeCell ref="I209:I212"/>
    <mergeCell ref="G165:G167"/>
    <mergeCell ref="H205:H207"/>
    <mergeCell ref="I205:I207"/>
    <mergeCell ref="I214:I217"/>
    <mergeCell ref="G214:G217"/>
    <mergeCell ref="H214:H217"/>
    <mergeCell ref="G205:G207"/>
    <mergeCell ref="I162:I163"/>
    <mergeCell ref="H200:H203"/>
    <mergeCell ref="F7:F8"/>
    <mergeCell ref="F13:F14"/>
    <mergeCell ref="F9:F10"/>
    <mergeCell ref="G7:G8"/>
    <mergeCell ref="C4:F4"/>
    <mergeCell ref="G4:J4"/>
    <mergeCell ref="I189:I192"/>
    <mergeCell ref="B68:I68"/>
    <mergeCell ref="I137:I138"/>
    <mergeCell ref="I200:I203"/>
    <mergeCell ref="H90:H93"/>
    <mergeCell ref="I90:I93"/>
    <mergeCell ref="G49:G62"/>
    <mergeCell ref="H49:H62"/>
    <mergeCell ref="I49:I62"/>
    <mergeCell ref="G189:G192"/>
    <mergeCell ref="H194:H196"/>
    <mergeCell ref="G86:G88"/>
    <mergeCell ref="I165:I167"/>
    <mergeCell ref="G105:G106"/>
    <mergeCell ref="I113:I116"/>
    <mergeCell ref="G118:G120"/>
    <mergeCell ref="H118:H120"/>
    <mergeCell ref="I118:I120"/>
    <mergeCell ref="G132:G135"/>
    <mergeCell ref="H132:H135"/>
    <mergeCell ref="I132:I135"/>
    <mergeCell ref="G137:G138"/>
    <mergeCell ref="G9:G10"/>
    <mergeCell ref="G13:G14"/>
    <mergeCell ref="B7:E14"/>
    <mergeCell ref="C19:D19"/>
    <mergeCell ref="C17:D17"/>
    <mergeCell ref="C18:D18"/>
    <mergeCell ref="F16:K16"/>
    <mergeCell ref="H17:K18"/>
    <mergeCell ref="H19:K20"/>
    <mergeCell ref="C20:D20"/>
    <mergeCell ref="C25:D25"/>
    <mergeCell ref="B44:D44"/>
    <mergeCell ref="C24:D24"/>
    <mergeCell ref="C41:D41"/>
    <mergeCell ref="B43:D43"/>
    <mergeCell ref="H72:H74"/>
    <mergeCell ref="C31:D31"/>
    <mergeCell ref="C27:D27"/>
    <mergeCell ref="C33:D33"/>
    <mergeCell ref="C26:D26"/>
    <mergeCell ref="C29:D29"/>
    <mergeCell ref="C28:D28"/>
    <mergeCell ref="C30:D30"/>
    <mergeCell ref="H33:K33"/>
    <mergeCell ref="H23:K29"/>
    <mergeCell ref="H31:K32"/>
    <mergeCell ref="C23:D23"/>
    <mergeCell ref="C38:D38"/>
    <mergeCell ref="G64:G66"/>
    <mergeCell ref="H64:H66"/>
    <mergeCell ref="I64:I66"/>
    <mergeCell ref="I69:I70"/>
    <mergeCell ref="G69:G70"/>
    <mergeCell ref="H69:H70"/>
    <mergeCell ref="C34:D34"/>
    <mergeCell ref="C35:D35"/>
    <mergeCell ref="C36:D36"/>
    <mergeCell ref="B45:D45"/>
    <mergeCell ref="H21:K22"/>
    <mergeCell ref="J124:J127"/>
    <mergeCell ref="G295:G306"/>
    <mergeCell ref="H295:H306"/>
    <mergeCell ref="I295:I306"/>
    <mergeCell ref="I223:I224"/>
    <mergeCell ref="I194:I196"/>
    <mergeCell ref="G209:G212"/>
    <mergeCell ref="H219:H221"/>
    <mergeCell ref="G194:G196"/>
    <mergeCell ref="H158:H160"/>
    <mergeCell ref="I158:I160"/>
    <mergeCell ref="H165:H167"/>
    <mergeCell ref="G124:G127"/>
    <mergeCell ref="I124:I127"/>
    <mergeCell ref="H124:H127"/>
    <mergeCell ref="G158:G160"/>
    <mergeCell ref="H162:H163"/>
    <mergeCell ref="H189:H192"/>
    <mergeCell ref="H244:H245"/>
    <mergeCell ref="G162:G163"/>
    <mergeCell ref="J160:K160"/>
    <mergeCell ref="H137:H138"/>
    <mergeCell ref="J162:K162"/>
    <mergeCell ref="I81:I84"/>
    <mergeCell ref="H86:H88"/>
    <mergeCell ref="G129:G130"/>
    <mergeCell ref="H129:H130"/>
    <mergeCell ref="I129:I130"/>
    <mergeCell ref="I86:I88"/>
    <mergeCell ref="G90:G93"/>
    <mergeCell ref="G108:G111"/>
    <mergeCell ref="H108:H111"/>
    <mergeCell ref="I108:I111"/>
    <mergeCell ref="H105:H106"/>
    <mergeCell ref="I105:I106"/>
    <mergeCell ref="G113:G116"/>
    <mergeCell ref="D279:D283"/>
    <mergeCell ref="O7:Q7"/>
    <mergeCell ref="G236:G239"/>
    <mergeCell ref="H236:H239"/>
    <mergeCell ref="I236:I239"/>
    <mergeCell ref="G140:G146"/>
    <mergeCell ref="H140:H146"/>
    <mergeCell ref="I140:I146"/>
    <mergeCell ref="G148:G156"/>
    <mergeCell ref="H148:H156"/>
    <mergeCell ref="I148:I156"/>
    <mergeCell ref="G76:G79"/>
    <mergeCell ref="H76:H79"/>
    <mergeCell ref="I76:I79"/>
    <mergeCell ref="G102:G103"/>
    <mergeCell ref="H102:H103"/>
    <mergeCell ref="I102:I103"/>
    <mergeCell ref="G200:G203"/>
    <mergeCell ref="G72:G74"/>
    <mergeCell ref="I72:I74"/>
    <mergeCell ref="G226:G229"/>
    <mergeCell ref="C39:D39"/>
    <mergeCell ref="C40:D40"/>
    <mergeCell ref="F35:F36"/>
    <mergeCell ref="I412:I413"/>
    <mergeCell ref="G418:G419"/>
    <mergeCell ref="H226:H229"/>
    <mergeCell ref="I226:I229"/>
    <mergeCell ref="G231:G234"/>
    <mergeCell ref="H113:H116"/>
    <mergeCell ref="H418:H419"/>
    <mergeCell ref="G81:G84"/>
    <mergeCell ref="I529:I532"/>
    <mergeCell ref="G526:G527"/>
    <mergeCell ref="H526:H527"/>
    <mergeCell ref="I526:I527"/>
    <mergeCell ref="H498:H501"/>
    <mergeCell ref="I498:I501"/>
    <mergeCell ref="G503:G505"/>
    <mergeCell ref="H503:H505"/>
    <mergeCell ref="I503:I505"/>
    <mergeCell ref="G507:G510"/>
    <mergeCell ref="H507:H510"/>
    <mergeCell ref="I507:I510"/>
    <mergeCell ref="G512:G514"/>
    <mergeCell ref="H512:H514"/>
    <mergeCell ref="I512:I514"/>
    <mergeCell ref="H81:H84"/>
    <mergeCell ref="G539:G542"/>
    <mergeCell ref="H539:H542"/>
    <mergeCell ref="I539:I542"/>
    <mergeCell ref="G544:G545"/>
    <mergeCell ref="H544:H545"/>
    <mergeCell ref="I544:I545"/>
    <mergeCell ref="G547:G548"/>
    <mergeCell ref="H547:H548"/>
    <mergeCell ref="I547:I548"/>
    <mergeCell ref="I565:I570"/>
    <mergeCell ref="D670:I670"/>
    <mergeCell ref="D662:I662"/>
    <mergeCell ref="D661:I661"/>
    <mergeCell ref="D667:I667"/>
    <mergeCell ref="G652:G654"/>
    <mergeCell ref="H652:H654"/>
    <mergeCell ref="I652:I654"/>
    <mergeCell ref="B656:I656"/>
    <mergeCell ref="D658:I658"/>
    <mergeCell ref="D659:I659"/>
    <mergeCell ref="D660:I660"/>
    <mergeCell ref="D663:I663"/>
    <mergeCell ref="D664:I664"/>
    <mergeCell ref="D666:I666"/>
    <mergeCell ref="D668:I668"/>
    <mergeCell ref="D669:I669"/>
    <mergeCell ref="G454:G458"/>
    <mergeCell ref="H454:H458"/>
    <mergeCell ref="I454:I458"/>
    <mergeCell ref="G460:G461"/>
    <mergeCell ref="H460:H461"/>
    <mergeCell ref="I460:I461"/>
    <mergeCell ref="G647:G650"/>
    <mergeCell ref="H647:H650"/>
    <mergeCell ref="I647:I650"/>
    <mergeCell ref="G550:G553"/>
    <mergeCell ref="H550:H553"/>
    <mergeCell ref="I550:I553"/>
    <mergeCell ref="G572:G576"/>
    <mergeCell ref="H572:H576"/>
    <mergeCell ref="I572:I576"/>
    <mergeCell ref="G578:G579"/>
    <mergeCell ref="G555:G556"/>
    <mergeCell ref="H555:H556"/>
    <mergeCell ref="I555:I556"/>
    <mergeCell ref="G558:G563"/>
    <mergeCell ref="H558:H563"/>
    <mergeCell ref="I558:I563"/>
    <mergeCell ref="G565:G570"/>
    <mergeCell ref="H565:H570"/>
    <mergeCell ref="J132:J135"/>
    <mergeCell ref="D698:I698"/>
    <mergeCell ref="D695:I695"/>
    <mergeCell ref="D696:I696"/>
    <mergeCell ref="D671:I671"/>
    <mergeCell ref="D672:I672"/>
    <mergeCell ref="D682:I682"/>
    <mergeCell ref="D683:I683"/>
    <mergeCell ref="D684:I684"/>
    <mergeCell ref="D686:I686"/>
    <mergeCell ref="D687:I687"/>
    <mergeCell ref="D689:I689"/>
    <mergeCell ref="D674:I674"/>
    <mergeCell ref="D675:I675"/>
    <mergeCell ref="D676:I676"/>
    <mergeCell ref="D678:I678"/>
    <mergeCell ref="D679:I679"/>
    <mergeCell ref="D681:I681"/>
    <mergeCell ref="D691:I691"/>
    <mergeCell ref="H578:H579"/>
    <mergeCell ref="I578:I579"/>
    <mergeCell ref="G583:G586"/>
    <mergeCell ref="H583:H586"/>
    <mergeCell ref="I583:I586"/>
  </mergeCells>
  <phoneticPr fontId="2" type="noConversion"/>
  <dataValidations xWindow="628" yWindow="819" count="19">
    <dataValidation allowBlank="1" showInputMessage="1" showErrorMessage="1" promptTitle="DDR type selection" sqref="C17:D17" xr:uid="{00000000-0002-0000-0200-000000000000}"/>
    <dataValidation type="list" allowBlank="1" showInputMessage="1" showErrorMessage="1" promptTitle="Total Data Bus width select" prompt="Select the desired bus width, 32-bit or 16-bit" sqref="C31:D31" xr:uid="{00000000-0002-0000-0200-000001000000}">
      <formula1>BusWidth</formula1>
    </dataValidation>
    <dataValidation type="list" allowBlank="1" showInputMessage="1" showErrorMessage="1" promptTitle="DDR4 Device Data Bus Width" prompt="Select the DDR4 device data bus width. Only x16 devices supported by i.MX8MPlus." sqref="C30:D30" xr:uid="{00000000-0002-0000-0200-000002000000}">
      <formula1>"16"</formula1>
    </dataValidation>
    <dataValidation type="list" allowBlank="1" showInputMessage="1" showErrorMessage="1" promptTitle="DDR4 Density Per Device" prompt="Select the per-device DDR4 density (the density of the single DDR4 device)." sqref="C20:D20" xr:uid="{00000000-0002-0000-0200-000003000000}">
      <formula1>$AG$4:$AG$7</formula1>
    </dataValidation>
    <dataValidation type="list" allowBlank="1" showInputMessage="1" showErrorMessage="1" promptTitle="Enable/disable 2D training" sqref="G33" xr:uid="{00000000-0002-0000-0200-000004000000}">
      <formula1>RowBankInterleavingOption</formula1>
    </dataValidation>
    <dataValidation type="list" allowBlank="1" showInputMessage="1" showErrorMessage="1" promptTitle="Number of frequency setpoints" sqref="G31" xr:uid="{00000000-0002-0000-0200-000005000000}">
      <formula1>$AF$4:$AF$5</formula1>
    </dataValidation>
    <dataValidation type="list" allowBlank="1" showInputMessage="1" showErrorMessage="1" sqref="C23:D23" xr:uid="{00000000-0002-0000-0200-000007000000}">
      <formula1>$AF$4:$AF$5</formula1>
    </dataValidation>
    <dataValidation allowBlank="1" showErrorMessage="1" promptTitle="Address/command bus impedance" prompt="Please select the desired drive strength impedance" sqref="C674:C676" xr:uid="{00000000-0002-0000-0200-000008000000}"/>
    <dataValidation type="list" allowBlank="1" showInputMessage="1" showErrorMessage="1" promptTitle="Address/command bus impedance" prompt="Please select the desired drive strength impedance" sqref="G17" xr:uid="{00000000-0002-0000-0200-000009000000}">
      <formula1>$AA$12:$AA$17</formula1>
    </dataValidation>
    <dataValidation type="list" allowBlank="1" showInputMessage="1" showErrorMessage="1" promptTitle="ODT impedance" prompt="Please select the desired ODT impedance" sqref="G19" xr:uid="{00000000-0002-0000-0200-00000A000000}">
      <formula1>$AB$12:$AB$17</formula1>
    </dataValidation>
    <dataValidation type="list" allowBlank="1" showInputMessage="1" showErrorMessage="1" promptTitle="DQ/DQS Drive impedance" prompt="Please select the desired drive strength impedance" sqref="G21" xr:uid="{00000000-0002-0000-0200-00000B000000}">
      <formula1>$AC$12:$AC$18</formula1>
    </dataValidation>
    <dataValidation type="list" allowBlank="1" showInputMessage="1" showErrorMessage="1" sqref="G23" xr:uid="{00000000-0002-0000-0200-00000C000000}">
      <formula1>RowBankInterleavingOption</formula1>
    </dataValidation>
    <dataValidation type="list" allowBlank="1" showInputMessage="1" showErrorMessage="1" sqref="F37" xr:uid="{6CA3CF3F-A493-440D-9A12-081472047781}">
      <formula1>"1, 2, 3, 4"</formula1>
    </dataValidation>
    <dataValidation type="list" allowBlank="1" showInputMessage="1" showErrorMessage="1" sqref="F28" xr:uid="{2D5514CC-323A-4E8E-AAEC-C245036E0836}">
      <formula1>"15, 16, 17, 18,19,20,21,22,23"</formula1>
    </dataValidation>
    <dataValidation type="list" allowBlank="1" showInputMessage="1" showErrorMessage="1" sqref="C34:D34" xr:uid="{BD7835FF-88DE-4CFA-B963-C64111D4CAD6}">
      <formula1>"533, 668"</formula1>
    </dataValidation>
    <dataValidation type="list" allowBlank="1" showInputMessage="1" showErrorMessage="1" sqref="G41" xr:uid="{47066003-078D-45CF-AE34-0884F355A366}">
      <formula1>"ENABLED, DISABLED"</formula1>
    </dataValidation>
    <dataValidation type="list" allowBlank="1" showInputMessage="1" showErrorMessage="1" sqref="C25:D25" xr:uid="{15A2BC8D-C40A-48F7-A4FF-BC3ABD459DAC}">
      <formula1>"14,15,16,17"</formula1>
    </dataValidation>
    <dataValidation type="list" allowBlank="1" showInputMessage="1" showErrorMessage="1" sqref="C27:D27" xr:uid="{277753F0-A360-4FBC-B14C-5EEF05B7A38B}">
      <formula1>"2"</formula1>
    </dataValidation>
    <dataValidation type="list" allowBlank="1" showInputMessage="1" showErrorMessage="1" sqref="C26:D26" xr:uid="{3A4CF750-278B-4253-B6F4-014640B39977}">
      <formula1>"10"</formula1>
    </dataValidation>
  </dataValidations>
  <pageMargins left="0.75" right="0.75" top="1" bottom="1" header="0.5" footer="0.5"/>
  <pageSetup scale="8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8AFCF-FBCA-4431-BCC8-7C7A7F1A0D86}">
  <dimension ref="A1:K74"/>
  <sheetViews>
    <sheetView topLeftCell="A7" workbookViewId="0">
      <selection activeCell="D12" sqref="D12"/>
    </sheetView>
  </sheetViews>
  <sheetFormatPr defaultRowHeight="12.75"/>
  <cols>
    <col min="1" max="1" width="73.140625" customWidth="1"/>
    <col min="2" max="2" width="30.42578125" customWidth="1"/>
    <col min="3" max="3" width="23.140625" customWidth="1"/>
    <col min="4" max="4" width="28.5703125" customWidth="1"/>
  </cols>
  <sheetData>
    <row r="1" spans="1:11">
      <c r="A1" s="884" t="s">
        <v>1264</v>
      </c>
      <c r="B1" s="884"/>
      <c r="C1" s="884"/>
      <c r="D1" s="884"/>
      <c r="E1" s="884"/>
      <c r="F1" s="884"/>
      <c r="G1" s="884"/>
      <c r="H1" s="522"/>
    </row>
    <row r="2" spans="1:11">
      <c r="A2" s="523" t="s">
        <v>1265</v>
      </c>
      <c r="B2" s="524"/>
      <c r="C2" s="8"/>
      <c r="D2" s="8"/>
      <c r="E2" s="28"/>
      <c r="F2" s="28"/>
      <c r="G2" s="28"/>
      <c r="H2" s="522"/>
    </row>
    <row r="3" spans="1:11">
      <c r="A3" s="523" t="s">
        <v>1266</v>
      </c>
      <c r="B3" s="524"/>
      <c r="C3" s="8"/>
      <c r="D3" s="8"/>
      <c r="E3" s="28"/>
      <c r="F3" s="28"/>
      <c r="G3" s="28"/>
      <c r="H3" s="522"/>
    </row>
    <row r="4" spans="1:11">
      <c r="A4" s="525" t="s">
        <v>1267</v>
      </c>
      <c r="B4" s="8"/>
      <c r="C4" s="8"/>
      <c r="D4" s="8"/>
      <c r="E4" s="28"/>
      <c r="F4" s="28"/>
      <c r="G4" s="28"/>
      <c r="H4" s="522"/>
    </row>
    <row r="5" spans="1:11">
      <c r="A5" s="885" t="s">
        <v>1268</v>
      </c>
      <c r="B5" s="886"/>
      <c r="C5" s="526"/>
      <c r="D5" s="8"/>
      <c r="E5" s="28"/>
      <c r="F5" s="28"/>
      <c r="G5" s="28"/>
      <c r="H5" s="522"/>
    </row>
    <row r="6" spans="1:11">
      <c r="A6" s="887" t="s">
        <v>1269</v>
      </c>
      <c r="B6" s="887"/>
      <c r="C6" s="887"/>
      <c r="D6" s="887"/>
      <c r="E6" s="887"/>
      <c r="F6" s="28"/>
      <c r="G6" s="28"/>
      <c r="H6" s="522"/>
    </row>
    <row r="7" spans="1:11">
      <c r="A7" s="887" t="s">
        <v>1270</v>
      </c>
      <c r="B7" s="887"/>
      <c r="C7" s="887"/>
      <c r="D7" s="887"/>
      <c r="E7" s="887"/>
      <c r="F7" s="28"/>
      <c r="G7" s="28"/>
      <c r="H7" s="522"/>
      <c r="I7" s="854"/>
      <c r="J7" s="854"/>
      <c r="K7" s="854"/>
    </row>
    <row r="8" spans="1:11" ht="13.5" thickBot="1">
      <c r="A8" s="527"/>
      <c r="B8" s="527"/>
      <c r="C8" s="527"/>
      <c r="D8" s="527"/>
      <c r="E8" s="527"/>
      <c r="F8" s="28"/>
      <c r="G8" s="28"/>
      <c r="H8" s="522"/>
      <c r="I8" s="463"/>
      <c r="J8" s="1"/>
      <c r="K8" s="1"/>
    </row>
    <row r="9" spans="1:11" ht="13.5" thickBot="1">
      <c r="A9" s="888" t="s">
        <v>1271</v>
      </c>
      <c r="B9" s="889"/>
      <c r="C9" s="889"/>
      <c r="D9" s="889"/>
      <c r="E9" s="528"/>
      <c r="F9" s="528"/>
      <c r="G9" s="529"/>
      <c r="H9" s="522"/>
    </row>
    <row r="10" spans="1:11" ht="13.5" thickBot="1">
      <c r="A10" s="879" t="s">
        <v>1272</v>
      </c>
      <c r="B10" s="880"/>
      <c r="C10" s="880"/>
      <c r="D10" s="881"/>
      <c r="E10" s="530"/>
      <c r="F10" s="530"/>
      <c r="G10" s="531"/>
      <c r="H10" s="522"/>
    </row>
    <row r="11" spans="1:11" ht="12" customHeight="1">
      <c r="A11" s="532"/>
      <c r="B11" s="8"/>
      <c r="C11" s="8"/>
      <c r="D11" s="533" t="s">
        <v>1273</v>
      </c>
      <c r="E11" s="530"/>
      <c r="F11" s="530"/>
      <c r="G11" s="531"/>
      <c r="H11" s="522"/>
    </row>
    <row r="12" spans="1:11" ht="13.5" thickBot="1">
      <c r="A12" s="534"/>
      <c r="B12" s="535"/>
      <c r="C12" s="535"/>
      <c r="D12" s="536">
        <v>8</v>
      </c>
      <c r="E12" s="530"/>
      <c r="F12" s="530"/>
      <c r="G12" s="531"/>
      <c r="H12" s="522"/>
    </row>
    <row r="13" spans="1:11" ht="14.45" customHeight="1" thickBot="1">
      <c r="A13" s="882" t="str">
        <f>IF(B74="ERROR!", "ALERT! ATLEAST ONE REGION MUST BE PROTECTED WHEN ECC ENABLED!", "")</f>
        <v/>
      </c>
      <c r="B13" s="883"/>
      <c r="C13" s="883"/>
      <c r="D13" s="883"/>
      <c r="E13" s="530"/>
      <c r="F13" s="530"/>
      <c r="G13" s="531"/>
      <c r="H13" s="522"/>
    </row>
    <row r="14" spans="1:11" ht="33" customHeight="1" thickBot="1">
      <c r="A14" s="537" t="s">
        <v>1274</v>
      </c>
      <c r="B14" s="538" t="s">
        <v>1275</v>
      </c>
      <c r="C14" s="538" t="s">
        <v>1276</v>
      </c>
      <c r="D14" s="539" t="s">
        <v>1277</v>
      </c>
      <c r="E14" s="855" t="s">
        <v>1278</v>
      </c>
      <c r="F14" s="856"/>
      <c r="G14" s="531"/>
      <c r="H14" s="522"/>
      <c r="I14" s="522"/>
    </row>
    <row r="15" spans="1:11" ht="14.45" customHeight="1">
      <c r="A15" s="540" t="str">
        <f>"ECC Parity Region 0 Section"</f>
        <v>ECC Parity Region 0 Section</v>
      </c>
      <c r="B15" s="87" t="str">
        <f>"0x" &amp; DEC2HEX((B60),9)</f>
        <v>0x13C000000</v>
      </c>
      <c r="C15" s="87" t="str">
        <f>C51</f>
        <v>64MB</v>
      </c>
      <c r="D15" s="541" t="str">
        <f>IF(D33="UNPROTECTED","ACCESSIBLE","INACCESSIBLE")</f>
        <v>INACCESSIBLE</v>
      </c>
      <c r="E15" s="857"/>
      <c r="F15" s="858"/>
      <c r="G15" s="531"/>
      <c r="H15" s="522"/>
      <c r="I15" s="522"/>
    </row>
    <row r="16" spans="1:11" ht="14.45" customHeight="1">
      <c r="A16" s="542" t="str">
        <f>"ECC Parity Region 1 Section"</f>
        <v>ECC Parity Region 1 Section</v>
      </c>
      <c r="B16" s="118" t="str">
        <f>"0x" &amp; DEC2HEX((B59),9)</f>
        <v>0x138000000</v>
      </c>
      <c r="C16" s="118" t="str">
        <f>C51</f>
        <v>64MB</v>
      </c>
      <c r="D16" s="543" t="str">
        <f>IF(D32="UNPROTECTED","ACCESSIBLE","INACCESSIBLE")</f>
        <v>INACCESSIBLE</v>
      </c>
      <c r="E16" s="857"/>
      <c r="F16" s="858"/>
      <c r="G16" s="531"/>
      <c r="H16" s="522"/>
      <c r="I16" s="522"/>
    </row>
    <row r="17" spans="1:9" ht="14.45" customHeight="1">
      <c r="A17" s="542" t="str">
        <f>"ECC Parity Region 2 Section"</f>
        <v>ECC Parity Region 2 Section</v>
      </c>
      <c r="B17" s="118" t="str">
        <f>"0x" &amp; DEC2HEX((B58),9)</f>
        <v>0x134000000</v>
      </c>
      <c r="C17" s="118" t="str">
        <f>C51</f>
        <v>64MB</v>
      </c>
      <c r="D17" s="543" t="str">
        <f>IF(D31="UNPROTECTED","ACCESSIBLE","INACCESSIBLE")</f>
        <v>INACCESSIBLE</v>
      </c>
      <c r="E17" s="857"/>
      <c r="F17" s="858"/>
      <c r="G17" s="531"/>
      <c r="H17" s="522"/>
      <c r="I17" s="522"/>
    </row>
    <row r="18" spans="1:9" ht="14.45" customHeight="1">
      <c r="A18" s="542" t="str">
        <f>"ECC Parity Region 3 Section"</f>
        <v>ECC Parity Region 3 Section</v>
      </c>
      <c r="B18" s="118" t="str">
        <f>"0x" &amp; DEC2HEX((B57),9)</f>
        <v>0x130000000</v>
      </c>
      <c r="C18" s="118" t="str">
        <f>C51</f>
        <v>64MB</v>
      </c>
      <c r="D18" s="543" t="str">
        <f>IF(D30="UNPROTECTED","ACCESSIBLE","INACCESSIBLE")</f>
        <v>INACCESSIBLE</v>
      </c>
      <c r="E18" s="857"/>
      <c r="F18" s="858"/>
      <c r="G18" s="531"/>
      <c r="H18" s="522"/>
      <c r="I18" s="522"/>
    </row>
    <row r="19" spans="1:9" ht="14.45" customHeight="1">
      <c r="A19" s="542" t="str">
        <f>"ECC Parity Region 4 Section"</f>
        <v>ECC Parity Region 4 Section</v>
      </c>
      <c r="B19" s="118" t="str">
        <f>"0x" &amp; DEC2HEX((B56),9)</f>
        <v>0x12C000000</v>
      </c>
      <c r="C19" s="118" t="str">
        <f>C51</f>
        <v>64MB</v>
      </c>
      <c r="D19" s="543" t="str">
        <f>IF(D29="UNPROTECTED","ACCESSIBLE","INACCESSIBLE")</f>
        <v>INACCESSIBLE</v>
      </c>
      <c r="E19" s="857"/>
      <c r="F19" s="858"/>
      <c r="G19" s="531"/>
      <c r="H19" s="522"/>
      <c r="I19" s="522"/>
    </row>
    <row r="20" spans="1:9" ht="14.45" customHeight="1">
      <c r="A20" s="542" t="str">
        <f>"ECC Parity Region 5 Section"</f>
        <v>ECC Parity Region 5 Section</v>
      </c>
      <c r="B20" s="118" t="str">
        <f>"0x" &amp; DEC2HEX((B55),9)</f>
        <v>0x128000000</v>
      </c>
      <c r="C20" s="118" t="str">
        <f>C51</f>
        <v>64MB</v>
      </c>
      <c r="D20" s="543" t="str">
        <f>IF(D28="UNPROTECTED","ACCESSIBLE","INACCESSIBLE")</f>
        <v>INACCESSIBLE</v>
      </c>
      <c r="E20" s="857"/>
      <c r="F20" s="858"/>
      <c r="G20" s="531"/>
      <c r="H20" s="522"/>
      <c r="I20" s="522"/>
    </row>
    <row r="21" spans="1:9" ht="14.45" customHeight="1">
      <c r="A21" s="542" t="str">
        <f>"ECC Parity Region 6 Section"</f>
        <v>ECC Parity Region 6 Section</v>
      </c>
      <c r="B21" s="118" t="str">
        <f>"0x" &amp; DEC2HEX((B54),9)</f>
        <v>0x124000000</v>
      </c>
      <c r="C21" s="118" t="str">
        <f>C51</f>
        <v>64MB</v>
      </c>
      <c r="D21" s="543" t="str">
        <f>IF(D27="UNPROTECTED","ACCESSIBLE","INACCESSIBLE")</f>
        <v>INACCESSIBLE</v>
      </c>
      <c r="E21" s="857"/>
      <c r="F21" s="858"/>
      <c r="G21" s="531"/>
      <c r="H21" s="522"/>
      <c r="I21" s="522"/>
    </row>
    <row r="22" spans="1:9" ht="14.45" customHeight="1">
      <c r="A22" s="544" t="str">
        <f>IF(D12=8,"","Other Region ECC Parity Region Section")</f>
        <v/>
      </c>
      <c r="B22" s="118" t="str">
        <f>IF(D12=8,"","0x" &amp; DEC2HEX((B53),9))</f>
        <v/>
      </c>
      <c r="C22" s="118" t="str">
        <f>IF(B50=0,"", C50)</f>
        <v/>
      </c>
      <c r="D22" s="543" t="str">
        <f>IF(D12=8,"", IF(D26="UNPROTECTED","ACCESSIBLE","INACCESSIBLE"))</f>
        <v/>
      </c>
      <c r="E22" s="857"/>
      <c r="F22" s="858"/>
      <c r="G22" s="531"/>
      <c r="H22" s="522"/>
      <c r="I22" s="522"/>
    </row>
    <row r="23" spans="1:9" ht="15" customHeight="1" thickBot="1">
      <c r="A23" s="545" t="s">
        <v>1279</v>
      </c>
      <c r="B23" s="546" t="str">
        <f>"0x" &amp; DEC2HEX((B52),9)</f>
        <v>0x120000000</v>
      </c>
      <c r="C23" s="546" t="str">
        <f>C49</f>
        <v>64MB</v>
      </c>
      <c r="D23" s="547" t="s">
        <v>1280</v>
      </c>
      <c r="E23" s="859"/>
      <c r="F23" s="860"/>
      <c r="G23" s="531"/>
      <c r="H23" s="548"/>
      <c r="I23" s="522"/>
    </row>
    <row r="24" spans="1:9" ht="13.5" thickBot="1">
      <c r="A24" s="861" t="s">
        <v>1281</v>
      </c>
      <c r="B24" s="862"/>
      <c r="C24" s="862"/>
      <c r="D24" s="862"/>
      <c r="E24" s="862"/>
      <c r="F24" s="863"/>
      <c r="G24" s="531"/>
      <c r="H24" s="522"/>
    </row>
    <row r="25" spans="1:9" ht="40.700000000000003" customHeight="1" thickBot="1">
      <c r="A25" s="537" t="s">
        <v>1282</v>
      </c>
      <c r="B25" s="549" t="s">
        <v>1283</v>
      </c>
      <c r="C25" s="549" t="s">
        <v>1284</v>
      </c>
      <c r="D25" s="550" t="s">
        <v>1285</v>
      </c>
      <c r="E25" s="864" t="s">
        <v>1286</v>
      </c>
      <c r="F25" s="865"/>
      <c r="G25" s="531"/>
      <c r="H25" s="548"/>
      <c r="I25" s="522"/>
    </row>
    <row r="26" spans="1:9" ht="14.45" customHeight="1">
      <c r="A26" s="540" t="str">
        <f>IF(D12=8, "N/A", "Other Region")</f>
        <v>N/A</v>
      </c>
      <c r="B26" s="347" t="str">
        <f>IF(B43=0,"","0x"&amp;DEC2HEX((B46+(7*B42/8)),9))</f>
        <v/>
      </c>
      <c r="C26" s="551" t="str">
        <f>IF(C43="0MB", "", C43)</f>
        <v/>
      </c>
      <c r="D26" s="552" t="s">
        <v>1287</v>
      </c>
      <c r="E26" s="866"/>
      <c r="F26" s="867"/>
      <c r="G26" s="553"/>
      <c r="H26" s="522"/>
      <c r="I26" s="522"/>
    </row>
    <row r="27" spans="1:9" ht="14.45" customHeight="1">
      <c r="A27" s="542" t="s">
        <v>1288</v>
      </c>
      <c r="B27" s="346" t="str">
        <f>"0x" &amp; DEC2HEX((B46+(6*B42/8)),9)</f>
        <v>0x100000000</v>
      </c>
      <c r="C27" s="554" t="str">
        <f>C42</f>
        <v>512MB</v>
      </c>
      <c r="D27" s="555" t="s">
        <v>1287</v>
      </c>
      <c r="E27" s="866"/>
      <c r="F27" s="867"/>
      <c r="G27" s="531"/>
      <c r="H27" s="522"/>
      <c r="I27" s="522"/>
    </row>
    <row r="28" spans="1:9" ht="14.45" customHeight="1">
      <c r="A28" s="542" t="s">
        <v>1289</v>
      </c>
      <c r="B28" s="346" t="str">
        <f>"0x" &amp; DEC2HEX((B46+(5*B42/8)),9)</f>
        <v>0x0E0000000</v>
      </c>
      <c r="C28" s="554" t="str">
        <f>C42</f>
        <v>512MB</v>
      </c>
      <c r="D28" s="555" t="s">
        <v>1287</v>
      </c>
      <c r="E28" s="866"/>
      <c r="F28" s="867"/>
      <c r="G28" s="531"/>
      <c r="H28" s="522"/>
      <c r="I28" s="522"/>
    </row>
    <row r="29" spans="1:9" ht="14.45" customHeight="1">
      <c r="A29" s="542" t="s">
        <v>1290</v>
      </c>
      <c r="B29" s="346" t="str">
        <f>"0x" &amp; DEC2HEX((B46+(4*B42/8)),9)</f>
        <v>0x0C0000000</v>
      </c>
      <c r="C29" s="554" t="str">
        <f>C42</f>
        <v>512MB</v>
      </c>
      <c r="D29" s="555" t="s">
        <v>1287</v>
      </c>
      <c r="E29" s="866"/>
      <c r="F29" s="867"/>
      <c r="G29" s="531"/>
      <c r="H29" s="522"/>
      <c r="I29" s="522"/>
    </row>
    <row r="30" spans="1:9" ht="14.45" customHeight="1">
      <c r="A30" s="542" t="s">
        <v>1291</v>
      </c>
      <c r="B30" s="346" t="str">
        <f>"0x" &amp; DEC2HEX((B46+(3*B42/8)),9)</f>
        <v>0x0A0000000</v>
      </c>
      <c r="C30" s="554" t="str">
        <f>C42</f>
        <v>512MB</v>
      </c>
      <c r="D30" s="555" t="s">
        <v>1287</v>
      </c>
      <c r="E30" s="866"/>
      <c r="F30" s="867"/>
      <c r="G30" s="531"/>
      <c r="H30" s="522"/>
      <c r="I30" s="522"/>
    </row>
    <row r="31" spans="1:9" ht="14.45" customHeight="1">
      <c r="A31" s="542" t="s">
        <v>1292</v>
      </c>
      <c r="B31" s="346" t="str">
        <f>"0x" &amp; DEC2HEX((B46+(2*B42/8)),9)</f>
        <v>0x080000000</v>
      </c>
      <c r="C31" s="554" t="str">
        <f>C42</f>
        <v>512MB</v>
      </c>
      <c r="D31" s="555" t="s">
        <v>1287</v>
      </c>
      <c r="E31" s="866"/>
      <c r="F31" s="867"/>
      <c r="G31" s="531"/>
      <c r="H31" s="522"/>
      <c r="I31" s="522"/>
    </row>
    <row r="32" spans="1:9" ht="14.45" customHeight="1">
      <c r="A32" s="542" t="s">
        <v>1293</v>
      </c>
      <c r="B32" s="346" t="str">
        <f>"0x" &amp; DEC2HEX((B46+(1*B42/8)),9)</f>
        <v>0x060000000</v>
      </c>
      <c r="C32" s="554" t="str">
        <f>C42</f>
        <v>512MB</v>
      </c>
      <c r="D32" s="555" t="s">
        <v>1287</v>
      </c>
      <c r="E32" s="866"/>
      <c r="F32" s="867"/>
      <c r="G32" s="531"/>
      <c r="H32" s="522"/>
      <c r="I32" s="522"/>
    </row>
    <row r="33" spans="1:9" ht="15" customHeight="1" thickBot="1">
      <c r="A33" s="545" t="s">
        <v>1294</v>
      </c>
      <c r="B33" s="556" t="str">
        <f>"0x"&amp;DEC2HEX(B46, 9)</f>
        <v>0x040000000</v>
      </c>
      <c r="C33" s="546" t="str">
        <f>C42</f>
        <v>512MB</v>
      </c>
      <c r="D33" s="557" t="s">
        <v>1287</v>
      </c>
      <c r="E33" s="868"/>
      <c r="F33" s="869"/>
      <c r="G33" s="553"/>
      <c r="H33" s="522"/>
      <c r="I33" s="522"/>
    </row>
    <row r="34" spans="1:9">
      <c r="A34" s="558" t="s">
        <v>1295</v>
      </c>
      <c r="B34" s="414"/>
      <c r="C34" s="559" t="str">
        <f>B40/1024/1024/8&amp;"MB"&amp;" ("&amp;B40/1024/1024/1024&amp;"Gb)"</f>
        <v>4096MB (32Gb)</v>
      </c>
      <c r="D34" s="414"/>
      <c r="E34" s="530"/>
      <c r="F34" s="530"/>
      <c r="G34" s="531"/>
      <c r="H34" s="522"/>
    </row>
    <row r="35" spans="1:9" ht="13.5" thickBot="1">
      <c r="A35" s="560" t="s">
        <v>1296</v>
      </c>
      <c r="B35" s="561"/>
      <c r="C35" s="561"/>
      <c r="D35" s="561"/>
      <c r="E35" s="562"/>
      <c r="F35" s="562"/>
      <c r="G35" s="563"/>
      <c r="H35" s="522"/>
    </row>
    <row r="36" spans="1:9">
      <c r="E36" s="522"/>
      <c r="F36" s="522"/>
      <c r="G36" s="522"/>
      <c r="H36" s="522"/>
    </row>
    <row r="37" spans="1:9" ht="13.5" thickBot="1">
      <c r="E37" s="522"/>
      <c r="F37" s="522"/>
      <c r="G37" s="522"/>
      <c r="H37" s="522"/>
    </row>
    <row r="38" spans="1:9" ht="13.5" thickBot="1">
      <c r="A38" s="870" t="s">
        <v>1297</v>
      </c>
      <c r="B38" s="871"/>
      <c r="C38" s="871"/>
      <c r="D38" s="872"/>
      <c r="E38" s="123"/>
      <c r="F38" s="522"/>
      <c r="G38" s="123"/>
      <c r="H38" s="123"/>
    </row>
    <row r="39" spans="1:9">
      <c r="A39" s="564"/>
      <c r="B39" s="565" t="s">
        <v>1298</v>
      </c>
      <c r="C39" s="566" t="s">
        <v>1299</v>
      </c>
      <c r="D39" s="567" t="s">
        <v>1300</v>
      </c>
      <c r="E39" s="522"/>
      <c r="F39" s="522"/>
      <c r="G39" s="522"/>
      <c r="H39" s="522"/>
    </row>
    <row r="40" spans="1:9" ht="33" customHeight="1">
      <c r="A40" s="568" t="s">
        <v>1301</v>
      </c>
      <c r="B40" s="569">
        <f>'Register Configuration'!C24*1024*1024*1024</f>
        <v>34359738368</v>
      </c>
      <c r="C40" s="570" t="str">
        <f>B40/1024/1024/8 &amp; "MB"</f>
        <v>4096MB</v>
      </c>
      <c r="D40" s="571" t="str">
        <f>"0x"&amp;DEC2HEX(B40/8, 9)</f>
        <v>0x100000000</v>
      </c>
      <c r="E40" s="522"/>
      <c r="F40" s="522"/>
      <c r="G40" s="522"/>
      <c r="H40" s="522"/>
    </row>
    <row r="41" spans="1:9" ht="23.45" customHeight="1">
      <c r="A41" s="568" t="s">
        <v>1302</v>
      </c>
      <c r="B41" s="569">
        <f>B40/8</f>
        <v>4294967296</v>
      </c>
      <c r="C41" s="572" t="str">
        <f>B41/1024/1024/8&amp;"MB"</f>
        <v>512MB</v>
      </c>
      <c r="D41" s="571" t="str">
        <f>"0x"&amp;DEC2HEX(B41/8, 9)</f>
        <v>0x020000000</v>
      </c>
      <c r="E41" s="522"/>
      <c r="F41" s="522"/>
      <c r="G41" s="522"/>
      <c r="H41" s="522"/>
    </row>
    <row r="42" spans="1:9" ht="23.45" customHeight="1">
      <c r="A42" s="573" t="s">
        <v>1303</v>
      </c>
      <c r="B42" s="569">
        <f>B40/D12</f>
        <v>4294967296</v>
      </c>
      <c r="C42" s="572" t="str">
        <f>B42/1024/1024/8&amp;"MB"</f>
        <v>512MB</v>
      </c>
      <c r="D42" s="571" t="str">
        <f>"0x"&amp;DEC2HEX(B42/8, 9)</f>
        <v>0x020000000</v>
      </c>
      <c r="E42" s="574"/>
      <c r="F42" s="522"/>
      <c r="G42" s="522"/>
      <c r="H42" s="522"/>
    </row>
    <row r="43" spans="1:9" ht="39" customHeight="1" thickBot="1">
      <c r="A43" s="575" t="s">
        <v>1304</v>
      </c>
      <c r="B43" s="576">
        <f>B40- (B40/8) - (7*B42)</f>
        <v>0</v>
      </c>
      <c r="C43" s="577" t="str">
        <f>B43/1024/1024/8&amp;"MB"</f>
        <v>0MB</v>
      </c>
      <c r="D43" s="578" t="str">
        <f>"0x"&amp;DEC2HEX(B43/8, 9)</f>
        <v>0x000000000</v>
      </c>
      <c r="E43" s="522"/>
      <c r="F43" s="522"/>
      <c r="G43" s="522"/>
      <c r="H43" s="522"/>
    </row>
    <row r="44" spans="1:9" ht="13.5" thickBot="1">
      <c r="E44" s="579"/>
      <c r="F44" s="522"/>
      <c r="G44" s="522"/>
      <c r="H44" s="522"/>
    </row>
    <row r="45" spans="1:9" ht="18" customHeight="1">
      <c r="A45" s="580" t="s">
        <v>1305</v>
      </c>
      <c r="B45" s="581" t="s">
        <v>1298</v>
      </c>
      <c r="C45" s="582" t="s">
        <v>1300</v>
      </c>
      <c r="E45" s="522"/>
      <c r="F45" s="522"/>
      <c r="G45" s="522"/>
      <c r="H45" s="522"/>
    </row>
    <row r="46" spans="1:9" ht="22.7" customHeight="1" thickBot="1">
      <c r="A46" s="575" t="s">
        <v>1306</v>
      </c>
      <c r="B46" s="583">
        <f>1*1024*1024*1024</f>
        <v>1073741824</v>
      </c>
      <c r="C46" s="584" t="str">
        <f>"0x"&amp;DEC2HEX(B46,9)</f>
        <v>0x040000000</v>
      </c>
      <c r="E46" s="522"/>
      <c r="F46" s="522"/>
      <c r="G46" s="522"/>
      <c r="H46" s="522"/>
    </row>
    <row r="47" spans="1:9">
      <c r="E47" s="522"/>
      <c r="F47" s="522"/>
      <c r="G47" s="522"/>
      <c r="H47" s="522"/>
    </row>
    <row r="48" spans="1:9">
      <c r="A48" s="873" t="s">
        <v>1307</v>
      </c>
      <c r="B48" s="874"/>
      <c r="C48" s="875"/>
    </row>
    <row r="49" spans="1:5" ht="17.45" customHeight="1">
      <c r="A49" s="585" t="s">
        <v>1308</v>
      </c>
      <c r="B49" s="586">
        <f>B40/64/8</f>
        <v>67108864</v>
      </c>
      <c r="C49" s="587" t="str">
        <f>B49/1024/1024 &amp;"MB"</f>
        <v>64MB</v>
      </c>
      <c r="E49" s="522"/>
    </row>
    <row r="50" spans="1:5" ht="16.7" customHeight="1">
      <c r="A50" s="585" t="s">
        <v>1309</v>
      </c>
      <c r="B50" s="586">
        <f>B43/8/8</f>
        <v>0</v>
      </c>
      <c r="C50" s="587" t="str">
        <f>B50/1024/1024 &amp; "MB"</f>
        <v>0MB</v>
      </c>
      <c r="E50" s="522"/>
    </row>
    <row r="51" spans="1:5" ht="16.7" customHeight="1">
      <c r="A51" s="585" t="s">
        <v>1310</v>
      </c>
      <c r="B51" s="586">
        <f>B42/8/8</f>
        <v>67108864</v>
      </c>
      <c r="C51" s="587" t="str">
        <f>B51/1024/1024 &amp; "MB"</f>
        <v>64MB</v>
      </c>
      <c r="E51" s="522"/>
    </row>
    <row r="52" spans="1:5" ht="17.45" customHeight="1">
      <c r="A52" s="585" t="s">
        <v>1311</v>
      </c>
      <c r="B52" s="586">
        <f>B46 + B40/8 - B40/8/8</f>
        <v>4831838208</v>
      </c>
    </row>
    <row r="53" spans="1:5" ht="16.350000000000001" customHeight="1">
      <c r="A53" s="585" t="s">
        <v>1312</v>
      </c>
      <c r="B53" s="586">
        <f>B52+ B49</f>
        <v>4898947072</v>
      </c>
    </row>
    <row r="54" spans="1:5" ht="15.6" customHeight="1">
      <c r="A54" s="585" t="s">
        <v>1313</v>
      </c>
      <c r="B54" s="586">
        <f>B53+ B50</f>
        <v>4898947072</v>
      </c>
    </row>
    <row r="55" spans="1:5" ht="17.45" customHeight="1">
      <c r="A55" s="585" t="s">
        <v>1314</v>
      </c>
      <c r="B55" s="586">
        <f>B54+ B51</f>
        <v>4966055936</v>
      </c>
    </row>
    <row r="56" spans="1:5" ht="15.6" customHeight="1">
      <c r="A56" s="585" t="s">
        <v>1315</v>
      </c>
      <c r="B56" s="586">
        <f>B55+ B51</f>
        <v>5033164800</v>
      </c>
    </row>
    <row r="57" spans="1:5" ht="16.7" customHeight="1">
      <c r="A57" s="585" t="s">
        <v>1316</v>
      </c>
      <c r="B57" s="586">
        <f>B56+ B51</f>
        <v>5100273664</v>
      </c>
    </row>
    <row r="58" spans="1:5" ht="16.7" customHeight="1">
      <c r="A58" s="585" t="s">
        <v>1317</v>
      </c>
      <c r="B58" s="586">
        <f>B57+ B51</f>
        <v>5167382528</v>
      </c>
    </row>
    <row r="59" spans="1:5" ht="15.6" customHeight="1">
      <c r="A59" s="585" t="s">
        <v>1318</v>
      </c>
      <c r="B59" s="586">
        <f>B58+ B51</f>
        <v>5234491392</v>
      </c>
    </row>
    <row r="60" spans="1:5" ht="16.7" customHeight="1">
      <c r="A60" s="585" t="s">
        <v>1319</v>
      </c>
      <c r="B60" s="586">
        <f>B59+ B51</f>
        <v>5301600256</v>
      </c>
    </row>
    <row r="61" spans="1:5" ht="13.5" thickBot="1"/>
    <row r="62" spans="1:5">
      <c r="A62" s="876" t="s">
        <v>1320</v>
      </c>
      <c r="B62" s="877"/>
      <c r="C62" s="878"/>
    </row>
    <row r="63" spans="1:5" ht="13.7" customHeight="1">
      <c r="A63" s="588" t="s">
        <v>1321</v>
      </c>
      <c r="B63" s="586">
        <f>LOG(D12,2)-3</f>
        <v>0</v>
      </c>
      <c r="C63" s="589"/>
    </row>
    <row r="64" spans="1:5">
      <c r="A64" s="590"/>
      <c r="B64" s="591"/>
      <c r="C64" s="592"/>
    </row>
    <row r="65" spans="1:3" ht="15.6" customHeight="1">
      <c r="A65" s="588" t="s">
        <v>1322</v>
      </c>
      <c r="B65" s="586">
        <f>IF(D12=8,0,IF(D26="PROTECTED",1,0))</f>
        <v>0</v>
      </c>
      <c r="C65" s="593"/>
    </row>
    <row r="66" spans="1:3">
      <c r="A66" s="594" t="s">
        <v>1323</v>
      </c>
      <c r="B66" s="586">
        <f>IF(D27="PROTECTED", _xlfn.BITLSHIFT(1,6), 0)</f>
        <v>64</v>
      </c>
      <c r="C66" s="595" t="str">
        <f t="shared" ref="C66:C74" si="0">"0x"&amp;DEC2HEX(B66,7)</f>
        <v>0x0000040</v>
      </c>
    </row>
    <row r="67" spans="1:3">
      <c r="A67" s="594" t="s">
        <v>1324</v>
      </c>
      <c r="B67" s="586">
        <f>IF(D28="PROTECTED", _xlfn.BITLSHIFT(1,5), 0)</f>
        <v>32</v>
      </c>
      <c r="C67" s="595" t="str">
        <f t="shared" si="0"/>
        <v>0x0000020</v>
      </c>
    </row>
    <row r="68" spans="1:3">
      <c r="A68" s="594" t="s">
        <v>1325</v>
      </c>
      <c r="B68" s="586">
        <f>IF(D29="PROTECTED", _xlfn.BITLSHIFT(1,4), 0)</f>
        <v>16</v>
      </c>
      <c r="C68" s="595" t="str">
        <f t="shared" si="0"/>
        <v>0x0000010</v>
      </c>
    </row>
    <row r="69" spans="1:3">
      <c r="A69" s="594" t="s">
        <v>1326</v>
      </c>
      <c r="B69" s="586">
        <f>IF(D30="PROTECTED", _xlfn.BITLSHIFT(1,3), 0)</f>
        <v>8</v>
      </c>
      <c r="C69" s="595" t="str">
        <f t="shared" si="0"/>
        <v>0x0000008</v>
      </c>
    </row>
    <row r="70" spans="1:3">
      <c r="A70" s="594" t="s">
        <v>1327</v>
      </c>
      <c r="B70" s="586">
        <f>IF(D31="PROTECTED", _xlfn.BITLSHIFT(1,2), 0)</f>
        <v>4</v>
      </c>
      <c r="C70" s="595" t="str">
        <f t="shared" si="0"/>
        <v>0x0000004</v>
      </c>
    </row>
    <row r="71" spans="1:3">
      <c r="A71" s="594" t="s">
        <v>1328</v>
      </c>
      <c r="B71" s="586">
        <f>IF(D32="PROTECTED", _xlfn.BITLSHIFT(1,1), 0)</f>
        <v>2</v>
      </c>
      <c r="C71" s="595" t="str">
        <f t="shared" si="0"/>
        <v>0x0000002</v>
      </c>
    </row>
    <row r="72" spans="1:3">
      <c r="A72" s="594" t="s">
        <v>1329</v>
      </c>
      <c r="B72" s="586">
        <f>IF(D33="PROTECTED", _xlfn.BITLSHIFT(1,0), 0)</f>
        <v>1</v>
      </c>
      <c r="C72" s="595" t="str">
        <f t="shared" si="0"/>
        <v>0x0000001</v>
      </c>
    </row>
    <row r="73" spans="1:3">
      <c r="A73" s="594" t="s">
        <v>1330</v>
      </c>
      <c r="B73" s="586">
        <f>SUM(B66:B72)</f>
        <v>127</v>
      </c>
      <c r="C73" s="595" t="str">
        <f t="shared" si="0"/>
        <v>0x000007F</v>
      </c>
    </row>
    <row r="74" spans="1:3" ht="13.5" thickBot="1">
      <c r="A74" s="596" t="s">
        <v>1331</v>
      </c>
      <c r="B74" s="597">
        <f>IF(AND('Register Configuration'!G41="ENABLED", (B73=0)),"ERROR!", B73)</f>
        <v>127</v>
      </c>
      <c r="C74" s="598" t="str">
        <f t="shared" si="0"/>
        <v>0x000007F</v>
      </c>
    </row>
  </sheetData>
  <mergeCells count="14">
    <mergeCell ref="A48:C48"/>
    <mergeCell ref="A62:C62"/>
    <mergeCell ref="A10:D10"/>
    <mergeCell ref="A13:D13"/>
    <mergeCell ref="A1:G1"/>
    <mergeCell ref="A5:B5"/>
    <mergeCell ref="A6:E6"/>
    <mergeCell ref="A7:E7"/>
    <mergeCell ref="A9:D9"/>
    <mergeCell ref="I7:K7"/>
    <mergeCell ref="E14:F23"/>
    <mergeCell ref="A24:F24"/>
    <mergeCell ref="E25:F33"/>
    <mergeCell ref="A38:D38"/>
  </mergeCells>
  <phoneticPr fontId="28" type="noConversion"/>
  <conditionalFormatting sqref="D15">
    <cfRule type="containsText" dxfId="2" priority="3" operator="containsText" text="INACCESSIBLE">
      <formula>NOT(ISERROR(SEARCH("INACCESSIBLE",D15)))</formula>
    </cfRule>
  </conditionalFormatting>
  <conditionalFormatting sqref="D16:D24">
    <cfRule type="containsText" dxfId="1" priority="2" operator="containsText" text="INACCESSIBLE">
      <formula>NOT(ISERROR(SEARCH("INACCESSIBLE",D16)))</formula>
    </cfRule>
  </conditionalFormatting>
  <conditionalFormatting sqref="D26:D33">
    <cfRule type="beginsWith" dxfId="0" priority="1" operator="beginsWith" text="PROTECTED">
      <formula>LEFT(D26,LEN("PROTECTED"))="PROTECTED"</formula>
    </cfRule>
  </conditionalFormatting>
  <dataValidations count="2">
    <dataValidation type="list" allowBlank="1" showInputMessage="1" showErrorMessage="1" sqref="D26:D33" xr:uid="{EF000EDA-62CC-4D36-A45A-043C324592AE}">
      <formula1>"PROTECTED, UNPROTECTED"</formula1>
    </dataValidation>
    <dataValidation type="list" allowBlank="1" showInputMessage="1" showErrorMessage="1" sqref="D12" xr:uid="{8A01AE35-E62C-44DE-803D-62F61125EAA0}">
      <formula1>"8, 16, 32, 64"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301"/>
  <sheetViews>
    <sheetView topLeftCell="A118" workbookViewId="0">
      <selection activeCell="A164" sqref="A164:F164"/>
    </sheetView>
  </sheetViews>
  <sheetFormatPr defaultRowHeight="13.5"/>
  <cols>
    <col min="1" max="1" width="18.5703125" style="114" customWidth="1"/>
    <col min="2" max="2" width="13.5703125" style="114" customWidth="1"/>
    <col min="3" max="3" width="6.5703125" style="302" customWidth="1"/>
    <col min="4" max="4" width="15.140625" style="469" customWidth="1"/>
    <col min="6" max="6" width="10.42578125" customWidth="1"/>
  </cols>
  <sheetData>
    <row r="1" spans="1:5">
      <c r="A1" s="114" t="str">
        <f>"#  Version "&amp;'Revision History'!B3</f>
        <v>#  Version 9</v>
      </c>
      <c r="B1" s="301"/>
      <c r="E1" s="114"/>
    </row>
    <row r="2" spans="1:5">
      <c r="A2" s="114" t="s">
        <v>401</v>
      </c>
      <c r="B2" s="301"/>
      <c r="E2" s="114"/>
    </row>
    <row r="3" spans="1:5">
      <c r="A3" s="114" t="s">
        <v>402</v>
      </c>
      <c r="B3" s="301"/>
      <c r="E3" s="114"/>
    </row>
    <row r="4" spans="1:5">
      <c r="A4" s="114" t="s">
        <v>403</v>
      </c>
      <c r="B4" s="301"/>
      <c r="E4" s="114"/>
    </row>
    <row r="5" spans="1:5">
      <c r="A5" s="114" t="s">
        <v>404</v>
      </c>
      <c r="B5" s="301"/>
      <c r="E5" s="114"/>
    </row>
    <row r="6" spans="1:5">
      <c r="A6" s="114" t="s">
        <v>405</v>
      </c>
      <c r="B6" s="301"/>
      <c r="E6" s="114"/>
    </row>
    <row r="7" spans="1:5">
      <c r="A7" s="114" t="s">
        <v>406</v>
      </c>
      <c r="B7" s="301"/>
      <c r="E7" s="114"/>
    </row>
    <row r="8" spans="1:5">
      <c r="A8" s="114" t="s">
        <v>407</v>
      </c>
      <c r="B8" s="301"/>
      <c r="E8" s="114"/>
    </row>
    <row r="9" spans="1:5">
      <c r="A9" s="114" t="s">
        <v>408</v>
      </c>
      <c r="B9" s="301"/>
      <c r="E9" s="114"/>
    </row>
    <row r="10" spans="1:5">
      <c r="A10" s="114" t="s">
        <v>409</v>
      </c>
      <c r="B10" s="301"/>
      <c r="E10" s="114"/>
    </row>
    <row r="11" spans="1:5">
      <c r="A11" s="114" t="s">
        <v>410</v>
      </c>
      <c r="B11" s="301"/>
      <c r="E11" s="114"/>
    </row>
    <row r="12" spans="1:5">
      <c r="A12" s="114" t="s">
        <v>411</v>
      </c>
      <c r="B12" s="301"/>
      <c r="E12" s="114"/>
    </row>
    <row r="13" spans="1:5">
      <c r="A13" s="114" t="s">
        <v>412</v>
      </c>
      <c r="B13" s="301"/>
      <c r="E13" s="114"/>
    </row>
    <row r="14" spans="1:5">
      <c r="A14" s="114" t="s">
        <v>413</v>
      </c>
      <c r="B14" s="301"/>
      <c r="E14" s="114"/>
    </row>
    <row r="15" spans="1:5">
      <c r="B15" s="301"/>
      <c r="E15" s="114"/>
    </row>
    <row r="16" spans="1:5">
      <c r="A16" s="114" t="s">
        <v>1246</v>
      </c>
      <c r="B16" s="301" t="s">
        <v>1247</v>
      </c>
      <c r="D16" s="521">
        <v>3</v>
      </c>
      <c r="E16" s="114" t="s">
        <v>1376</v>
      </c>
    </row>
    <row r="17" spans="1:5">
      <c r="B17" s="301"/>
      <c r="E17" s="114"/>
    </row>
    <row r="18" spans="1:5">
      <c r="A18" s="114" t="s">
        <v>1224</v>
      </c>
      <c r="B18" s="301"/>
      <c r="C18" s="114"/>
      <c r="D18" s="301"/>
      <c r="E18" s="114"/>
    </row>
    <row r="19" spans="1:5">
      <c r="A19" s="114" t="s">
        <v>1225</v>
      </c>
      <c r="B19" s="301"/>
      <c r="C19" s="114"/>
      <c r="D19" s="301"/>
      <c r="E19" s="114"/>
    </row>
    <row r="20" spans="1:5">
      <c r="A20" s="114" t="s">
        <v>1226</v>
      </c>
      <c r="B20" s="301"/>
      <c r="C20" s="114"/>
      <c r="D20" s="301"/>
      <c r="E20" s="114"/>
    </row>
    <row r="21" spans="1:5">
      <c r="A21" s="114" t="s">
        <v>415</v>
      </c>
      <c r="B21" s="497" t="str">
        <f>"0x30330"&amp;IF('Register Configuration'!F37=1, "220", IF('Register Configuration'!F37=2, "228", IF('Register Configuration'!F37=3, "230", "238")))</f>
        <v>0x30330228</v>
      </c>
      <c r="C21" s="498">
        <v>32</v>
      </c>
      <c r="D21" s="301" t="s">
        <v>1227</v>
      </c>
      <c r="E21" s="114" t="str">
        <f>"#IOMUXC_SW_MUX_UART"&amp;('Register Configuration'!F37)&amp;"_RXD"</f>
        <v>#IOMUXC_SW_MUX_UART2_RXD</v>
      </c>
    </row>
    <row r="22" spans="1:5">
      <c r="A22" s="114" t="s">
        <v>415</v>
      </c>
      <c r="B22" s="497" t="str">
        <f>"0x30330"&amp;IF('Register Configuration'!F37=1, "224", IF('Register Configuration'!F37=2, "22C", IF('Register Configuration'!F37=3, "234", "23C")))</f>
        <v>0x3033022C</v>
      </c>
      <c r="C22" s="498">
        <v>32</v>
      </c>
      <c r="D22" s="301" t="s">
        <v>701</v>
      </c>
      <c r="E22" s="114" t="str">
        <f>"#IOMUXC_SW_MUX_UART"&amp;('Register Configuration'!F37)&amp;"_TXD"</f>
        <v>#IOMUXC_SW_MUX_UART2_TXD</v>
      </c>
    </row>
    <row r="23" spans="1:5">
      <c r="A23" s="114" t="s">
        <v>415</v>
      </c>
      <c r="B23" s="497" t="str">
        <f>"0x30330"&amp;IF('Register Configuration'!F37=1, "480", IF('Register Configuration'!F37=2, "488", IF('Register Configuration'!F37=3, "490", "498")))</f>
        <v>0x30330488</v>
      </c>
      <c r="C23" s="498">
        <v>32</v>
      </c>
      <c r="D23" s="301" t="s">
        <v>1259</v>
      </c>
      <c r="E23" s="114" t="str">
        <f>"#IOMUXC_SW_PAD_UART"&amp;('Register Configuration'!F37)&amp;"_RXD"</f>
        <v>#IOMUXC_SW_PAD_UART2_RXD</v>
      </c>
    </row>
    <row r="24" spans="1:5">
      <c r="A24" s="114" t="s">
        <v>415</v>
      </c>
      <c r="B24" s="497" t="str">
        <f>"0x30330"&amp;IF('Register Configuration'!F37=1, "484", IF('Register Configuration'!F37=2, "48C", IF('Register Configuration'!F37=3, "494", "49C")))</f>
        <v>0x3033048C</v>
      </c>
      <c r="C24" s="498">
        <v>32</v>
      </c>
      <c r="D24" s="301" t="s">
        <v>1259</v>
      </c>
      <c r="E24" s="114" t="str">
        <f>"#IOMUXC_SW_PAD_UART"&amp;('Register Configuration'!F37)&amp;"_TXD"</f>
        <v>#IOMUXC_SW_PAD_UART2_TXD</v>
      </c>
    </row>
    <row r="25" spans="1:5">
      <c r="A25" s="114" t="s">
        <v>415</v>
      </c>
      <c r="B25" s="497" t="str">
        <f>"0x30330"&amp;IF('Register Configuration'!F37=1, "5E8", IF('Register Configuration'!F37=2, "5F0", IF('Register Configuration'!F37=3, "5F8", "600")))</f>
        <v>0x303305F0</v>
      </c>
      <c r="C25" s="498">
        <v>32</v>
      </c>
      <c r="D25" s="497" t="str">
        <f>IF('Register Configuration'!F37=1,"00000004",IF( 'Register Configuration'!F37=2, "0x00000006", IF( 'Register Configuration'!F37=3, "0x00000006","0x00000008")))</f>
        <v>0x00000006</v>
      </c>
      <c r="E25" s="114" t="str">
        <f>"#IOMUXC_SW_MUX_UART"&amp;('Register Configuration'!F37)&amp;"_SEL_RXD"</f>
        <v>#IOMUXC_SW_MUX_UART2_SEL_RXD</v>
      </c>
    </row>
    <row r="26" spans="1:5">
      <c r="A26" s="114" t="s">
        <v>1228</v>
      </c>
      <c r="B26" s="499" t="s">
        <v>1229</v>
      </c>
      <c r="C26" s="498"/>
      <c r="D26" s="497">
        <f>'Register Configuration'!F37 - 1</f>
        <v>1</v>
      </c>
      <c r="E26" s="114" t="s">
        <v>1230</v>
      </c>
    </row>
    <row r="27" spans="1:5">
      <c r="B27" s="301"/>
      <c r="E27" s="114"/>
    </row>
    <row r="28" spans="1:5">
      <c r="A28" s="114" t="s">
        <v>414</v>
      </c>
      <c r="B28" s="301"/>
      <c r="E28" s="114"/>
    </row>
    <row r="29" spans="1:5" s="493" customFormat="1">
      <c r="A29" s="490" t="s">
        <v>415</v>
      </c>
      <c r="B29" s="491" t="s">
        <v>430</v>
      </c>
      <c r="C29" s="492">
        <v>32</v>
      </c>
      <c r="D29" s="491" t="s">
        <v>1197</v>
      </c>
      <c r="E29" s="490" t="s">
        <v>1198</v>
      </c>
    </row>
    <row r="30" spans="1:5" s="493" customFormat="1">
      <c r="A30" s="490" t="s">
        <v>415</v>
      </c>
      <c r="B30" s="491" t="s">
        <v>430</v>
      </c>
      <c r="C30" s="492">
        <v>32</v>
      </c>
      <c r="D30" s="491" t="s">
        <v>1199</v>
      </c>
      <c r="E30" s="490" t="s">
        <v>1200</v>
      </c>
    </row>
    <row r="31" spans="1:5" s="493" customFormat="1">
      <c r="A31" s="490"/>
      <c r="B31" s="491"/>
      <c r="C31" s="492"/>
      <c r="D31" s="491"/>
      <c r="E31" s="490"/>
    </row>
    <row r="32" spans="1:5" s="493" customFormat="1">
      <c r="A32" s="490" t="s">
        <v>415</v>
      </c>
      <c r="B32" s="491" t="s">
        <v>416</v>
      </c>
      <c r="C32" s="492">
        <v>32</v>
      </c>
      <c r="D32" s="491" t="s">
        <v>417</v>
      </c>
      <c r="E32" s="490" t="s">
        <v>1201</v>
      </c>
    </row>
    <row r="33" spans="1:5" s="493" customFormat="1">
      <c r="A33" s="490" t="s">
        <v>415</v>
      </c>
      <c r="B33" s="491" t="s">
        <v>419</v>
      </c>
      <c r="C33" s="492">
        <v>32</v>
      </c>
      <c r="D33" s="491" t="s">
        <v>420</v>
      </c>
      <c r="E33" s="490" t="s">
        <v>1202</v>
      </c>
    </row>
    <row r="34" spans="1:5" s="493" customFormat="1">
      <c r="A34" s="490"/>
      <c r="B34" s="491"/>
      <c r="C34" s="492"/>
      <c r="D34" s="491"/>
      <c r="E34" s="490"/>
    </row>
    <row r="35" spans="1:5" s="493" customFormat="1">
      <c r="A35" s="490" t="s">
        <v>422</v>
      </c>
      <c r="B35" s="491"/>
      <c r="C35" s="492"/>
      <c r="D35" s="491"/>
      <c r="E35" s="490"/>
    </row>
    <row r="36" spans="1:5" s="493" customFormat="1">
      <c r="A36" s="490" t="s">
        <v>415</v>
      </c>
      <c r="B36" s="491" t="s">
        <v>423</v>
      </c>
      <c r="C36" s="492">
        <v>32</v>
      </c>
      <c r="D36" s="491" t="s">
        <v>424</v>
      </c>
      <c r="E36" s="490" t="s">
        <v>425</v>
      </c>
    </row>
    <row r="37" spans="1:5" s="493" customFormat="1">
      <c r="A37" s="490" t="s">
        <v>426</v>
      </c>
      <c r="B37" s="491" t="s">
        <v>427</v>
      </c>
      <c r="C37" s="492">
        <v>32</v>
      </c>
      <c r="D37" s="491" t="s">
        <v>428</v>
      </c>
      <c r="E37" s="490" t="s">
        <v>429</v>
      </c>
    </row>
    <row r="38" spans="1:5" s="493" customFormat="1">
      <c r="A38" s="490"/>
      <c r="B38" s="491"/>
      <c r="C38" s="492"/>
      <c r="D38" s="491"/>
      <c r="E38" s="490"/>
    </row>
    <row r="39" spans="1:5" s="493" customFormat="1">
      <c r="A39" s="490" t="s">
        <v>415</v>
      </c>
      <c r="B39" s="491" t="s">
        <v>431</v>
      </c>
      <c r="C39" s="492">
        <v>32</v>
      </c>
      <c r="D39" s="491" t="s">
        <v>856</v>
      </c>
      <c r="E39" s="490" t="s">
        <v>857</v>
      </c>
    </row>
    <row r="40" spans="1:5" s="493" customFormat="1">
      <c r="A40" s="490"/>
      <c r="B40" s="491"/>
      <c r="C40" s="492"/>
      <c r="D40" s="491"/>
      <c r="E40" s="490"/>
    </row>
    <row r="41" spans="1:5" s="493" customFormat="1">
      <c r="A41" s="490" t="s">
        <v>432</v>
      </c>
      <c r="B41" s="491"/>
      <c r="C41" s="492"/>
      <c r="D41" s="491"/>
      <c r="E41" s="490"/>
    </row>
    <row r="42" spans="1:5" s="493" customFormat="1">
      <c r="A42" s="490" t="s">
        <v>1221</v>
      </c>
      <c r="B42" s="491"/>
      <c r="C42" s="492"/>
      <c r="D42" s="491"/>
      <c r="E42" s="490"/>
    </row>
    <row r="43" spans="1:5" s="493" customFormat="1">
      <c r="A43" s="490" t="s">
        <v>1222</v>
      </c>
      <c r="B43" s="491"/>
      <c r="C43" s="492"/>
      <c r="D43" s="491"/>
      <c r="E43" s="490"/>
    </row>
    <row r="44" spans="1:5" s="493" customFormat="1">
      <c r="A44" s="490" t="s">
        <v>1223</v>
      </c>
      <c r="B44" s="491"/>
      <c r="C44" s="492"/>
      <c r="D44" s="491"/>
      <c r="E44" s="490"/>
    </row>
    <row r="45" spans="1:5" s="493" customFormat="1">
      <c r="A45" s="490" t="s">
        <v>415</v>
      </c>
      <c r="B45" s="491" t="s">
        <v>1203</v>
      </c>
      <c r="C45" s="492">
        <v>32</v>
      </c>
      <c r="D45" s="495" t="str">
        <f>IF('Register Configuration'!C32=1200,"0xC8022",IF('Register Configuration'!C32=1600,"0x190032","TBD"))</f>
        <v>0x190032</v>
      </c>
      <c r="E45" s="490" t="s">
        <v>1253</v>
      </c>
    </row>
    <row r="46" spans="1:5" s="493" customFormat="1">
      <c r="A46" s="490" t="s">
        <v>415</v>
      </c>
      <c r="B46" s="491" t="s">
        <v>1204</v>
      </c>
      <c r="C46" s="492">
        <v>32</v>
      </c>
      <c r="D46" s="491" t="s">
        <v>701</v>
      </c>
      <c r="E46" s="490" t="s">
        <v>1205</v>
      </c>
    </row>
    <row r="47" spans="1:5" s="493" customFormat="1">
      <c r="A47" s="490" t="s">
        <v>1206</v>
      </c>
      <c r="B47" s="491" t="s">
        <v>1207</v>
      </c>
      <c r="C47" s="492">
        <v>32</v>
      </c>
      <c r="D47" s="491" t="s">
        <v>1208</v>
      </c>
      <c r="E47" s="490" t="s">
        <v>1209</v>
      </c>
    </row>
    <row r="48" spans="1:5" s="493" customFormat="1">
      <c r="A48" s="490" t="s">
        <v>1210</v>
      </c>
      <c r="B48" s="491" t="s">
        <v>1207</v>
      </c>
      <c r="C48" s="492">
        <v>32</v>
      </c>
      <c r="D48" s="491" t="s">
        <v>1211</v>
      </c>
      <c r="E48" s="490" t="s">
        <v>1212</v>
      </c>
    </row>
    <row r="49" spans="1:13" s="493" customFormat="1">
      <c r="A49" s="490" t="s">
        <v>433</v>
      </c>
      <c r="B49" s="491" t="s">
        <v>1207</v>
      </c>
      <c r="C49" s="492">
        <v>32</v>
      </c>
      <c r="D49" s="491" t="s">
        <v>434</v>
      </c>
      <c r="E49" s="490" t="s">
        <v>1213</v>
      </c>
    </row>
    <row r="50" spans="1:13" s="493" customFormat="1">
      <c r="A50" s="490"/>
      <c r="B50" s="491"/>
      <c r="C50" s="492"/>
      <c r="D50" s="491"/>
      <c r="E50" s="490"/>
    </row>
    <row r="51" spans="1:13" s="493" customFormat="1">
      <c r="A51" s="490" t="s">
        <v>415</v>
      </c>
      <c r="B51" s="491" t="s">
        <v>430</v>
      </c>
      <c r="C51" s="492">
        <v>32</v>
      </c>
      <c r="D51" s="491" t="s">
        <v>1214</v>
      </c>
      <c r="E51" s="490"/>
    </row>
    <row r="52" spans="1:13">
      <c r="B52" s="301"/>
      <c r="E52" s="114"/>
    </row>
    <row r="53" spans="1:13">
      <c r="A53" s="114" t="s">
        <v>435</v>
      </c>
      <c r="B53" s="301"/>
      <c r="E53" s="114"/>
    </row>
    <row r="54" spans="1:13">
      <c r="A54" s="114" t="s">
        <v>389</v>
      </c>
      <c r="B54" s="301" t="s">
        <v>436</v>
      </c>
      <c r="C54" s="302">
        <v>32</v>
      </c>
      <c r="D54" s="469" t="s">
        <v>255</v>
      </c>
      <c r="E54" s="114" t="s">
        <v>437</v>
      </c>
    </row>
    <row r="55" spans="1:13">
      <c r="A55" s="114" t="s">
        <v>389</v>
      </c>
      <c r="B55" s="301" t="s">
        <v>438</v>
      </c>
      <c r="C55" s="302">
        <v>32</v>
      </c>
      <c r="D55" s="469" t="s">
        <v>255</v>
      </c>
      <c r="E55" s="114" t="s">
        <v>439</v>
      </c>
    </row>
    <row r="56" spans="1:13">
      <c r="E56" s="114"/>
      <c r="F56" s="114"/>
      <c r="G56" s="114"/>
      <c r="H56" s="114"/>
      <c r="I56" s="114"/>
      <c r="J56" s="114"/>
      <c r="K56" s="114"/>
      <c r="L56" s="114"/>
      <c r="M56" s="114"/>
    </row>
    <row r="57" spans="1:13">
      <c r="A57" s="114" t="s">
        <v>415</v>
      </c>
      <c r="B57" s="114" t="s">
        <v>440</v>
      </c>
      <c r="C57" s="302">
        <v>32</v>
      </c>
      <c r="D57" s="470" t="str">
        <f>'Register Configuration'!I49</f>
        <v>0xA1040010</v>
      </c>
      <c r="E57" s="114" t="s">
        <v>449</v>
      </c>
      <c r="F57" s="114"/>
      <c r="G57" s="114"/>
      <c r="H57" s="114"/>
      <c r="I57" s="114"/>
      <c r="J57" s="114"/>
      <c r="K57" s="114"/>
      <c r="L57" s="114"/>
      <c r="M57" s="114"/>
    </row>
    <row r="58" spans="1:13">
      <c r="A58" s="114" t="s">
        <v>415</v>
      </c>
      <c r="B58" s="114" t="s">
        <v>441</v>
      </c>
      <c r="C58" s="302">
        <v>32</v>
      </c>
      <c r="D58" s="470" t="str">
        <f>'Register Configuration'!I477</f>
        <v>0x000000AA</v>
      </c>
      <c r="E58" s="114" t="s">
        <v>450</v>
      </c>
      <c r="F58" s="114"/>
      <c r="G58" s="114"/>
      <c r="H58" s="114"/>
      <c r="I58" s="114"/>
      <c r="J58" s="114"/>
      <c r="K58" s="114"/>
      <c r="L58" s="114"/>
      <c r="M58" s="114"/>
    </row>
    <row r="59" spans="1:13">
      <c r="A59" s="114" t="s">
        <v>415</v>
      </c>
      <c r="B59" s="114" t="s">
        <v>442</v>
      </c>
      <c r="C59" s="302">
        <v>32</v>
      </c>
      <c r="D59" s="470" t="str">
        <f>'Register Configuration'!I487</f>
        <v>0x00221306</v>
      </c>
      <c r="E59" s="114" t="s">
        <v>451</v>
      </c>
      <c r="F59" s="114"/>
      <c r="G59" s="114"/>
      <c r="H59" s="114"/>
      <c r="I59" s="114"/>
      <c r="J59" s="114"/>
      <c r="K59" s="114"/>
      <c r="L59" s="114"/>
      <c r="M59" s="114"/>
    </row>
    <row r="60" spans="1:13">
      <c r="A60" s="114" t="s">
        <v>415</v>
      </c>
      <c r="B60" s="114" t="s">
        <v>443</v>
      </c>
      <c r="C60" s="302">
        <v>32</v>
      </c>
      <c r="D60" s="470" t="str">
        <f>'Register Configuration'!I124</f>
        <v>0x00210070</v>
      </c>
      <c r="E60" s="114" t="s">
        <v>452</v>
      </c>
      <c r="F60" s="114"/>
      <c r="G60" s="114"/>
      <c r="H60" s="114"/>
      <c r="I60" s="114"/>
      <c r="J60" s="114"/>
      <c r="K60" s="114"/>
      <c r="L60" s="114"/>
      <c r="M60" s="114"/>
    </row>
    <row r="61" spans="1:13">
      <c r="A61" s="114" t="s">
        <v>415</v>
      </c>
      <c r="B61" s="114" t="s">
        <v>444</v>
      </c>
      <c r="C61" s="302">
        <v>32</v>
      </c>
      <c r="D61" s="470" t="str">
        <f>'Register Configuration'!I129</f>
        <v>0x00010008</v>
      </c>
      <c r="E61" s="114" t="s">
        <v>453</v>
      </c>
      <c r="F61" s="114"/>
      <c r="G61" s="114"/>
      <c r="H61" s="114"/>
      <c r="I61" s="114"/>
      <c r="J61" s="114"/>
      <c r="K61" s="114"/>
      <c r="L61" s="114"/>
      <c r="M61" s="114"/>
    </row>
    <row r="62" spans="1:13">
      <c r="A62" s="114" t="s">
        <v>415</v>
      </c>
      <c r="B62" s="114" t="s">
        <v>445</v>
      </c>
      <c r="C62" s="302">
        <v>32</v>
      </c>
      <c r="D62" s="470" t="str">
        <f>'Register Configuration'!I132</f>
        <v>0x00000000</v>
      </c>
      <c r="E62" s="114" t="s">
        <v>454</v>
      </c>
      <c r="F62" s="114"/>
      <c r="G62" s="114"/>
      <c r="H62" s="114"/>
      <c r="I62" s="114"/>
      <c r="J62" s="114"/>
      <c r="K62" s="114"/>
      <c r="L62" s="114"/>
      <c r="M62" s="114"/>
    </row>
    <row r="63" spans="1:13">
      <c r="A63" s="114" t="s">
        <v>415</v>
      </c>
      <c r="B63" s="114" t="s">
        <v>446</v>
      </c>
      <c r="C63" s="302">
        <v>32</v>
      </c>
      <c r="D63" s="470" t="str">
        <f>'Register Configuration'!I137</f>
        <v>0x00C30118</v>
      </c>
      <c r="E63" s="114" t="s">
        <v>455</v>
      </c>
      <c r="F63" s="114"/>
      <c r="G63" s="114"/>
      <c r="H63" s="114"/>
      <c r="I63" s="114"/>
      <c r="J63" s="114"/>
      <c r="K63" s="114"/>
      <c r="L63" s="114"/>
      <c r="M63" s="114"/>
    </row>
    <row r="64" spans="1:13">
      <c r="A64" s="114" t="s">
        <v>415</v>
      </c>
      <c r="B64" s="114" t="s">
        <v>447</v>
      </c>
      <c r="C64" s="302">
        <v>32</v>
      </c>
      <c r="D64" s="470" t="str">
        <f>'Register Configuration'!I140</f>
        <v>0x00000000</v>
      </c>
      <c r="E64" s="114" t="s">
        <v>456</v>
      </c>
      <c r="F64" s="114"/>
      <c r="G64" s="114"/>
      <c r="H64" s="114"/>
      <c r="I64" s="114"/>
      <c r="J64" s="114"/>
      <c r="K64" s="114"/>
      <c r="L64" s="114"/>
      <c r="M64" s="114"/>
    </row>
    <row r="65" spans="1:13">
      <c r="A65" s="114" t="s">
        <v>415</v>
      </c>
      <c r="B65" s="114" t="s">
        <v>448</v>
      </c>
      <c r="C65" s="302">
        <v>32</v>
      </c>
      <c r="D65" s="470" t="str">
        <f>'Register Configuration'!I148</f>
        <v>0x00001000</v>
      </c>
      <c r="E65" s="114" t="s">
        <v>457</v>
      </c>
      <c r="F65" s="114"/>
      <c r="G65" s="114"/>
      <c r="H65" s="114"/>
      <c r="I65" s="114"/>
      <c r="J65" s="114"/>
      <c r="K65" s="114"/>
      <c r="L65" s="114"/>
      <c r="M65" s="114"/>
    </row>
    <row r="66" spans="1:13">
      <c r="D66" s="470"/>
      <c r="E66" s="114"/>
      <c r="F66" s="114"/>
      <c r="G66" s="114"/>
      <c r="H66" s="114"/>
      <c r="I66" s="114"/>
      <c r="J66" s="114"/>
      <c r="K66" s="114"/>
      <c r="L66" s="114"/>
      <c r="M66" s="114"/>
    </row>
    <row r="67" spans="1:13">
      <c r="A67" s="114" t="s">
        <v>389</v>
      </c>
      <c r="B67" s="301" t="s">
        <v>1337</v>
      </c>
      <c r="C67" s="302">
        <v>32</v>
      </c>
      <c r="D67" s="497" t="str">
        <f>'Register Configuration'!I169</f>
        <v>0x03027F90</v>
      </c>
      <c r="E67" s="114" t="s">
        <v>1374</v>
      </c>
    </row>
    <row r="68" spans="1:13">
      <c r="A68" s="114" t="s">
        <v>389</v>
      </c>
      <c r="B68" s="301" t="s">
        <v>1361</v>
      </c>
      <c r="C68" s="302">
        <v>32</v>
      </c>
      <c r="D68" s="497" t="str">
        <f>'Register Configuration'!I181</f>
        <v>0x00000790</v>
      </c>
      <c r="E68" s="114" t="s">
        <v>1375</v>
      </c>
    </row>
    <row r="69" spans="1:13">
      <c r="E69" s="114"/>
      <c r="F69" s="114"/>
      <c r="G69" s="114"/>
      <c r="H69" s="114"/>
      <c r="I69" s="114"/>
      <c r="J69" s="114"/>
      <c r="K69" s="114"/>
      <c r="L69" s="114"/>
      <c r="M69" s="114"/>
    </row>
    <row r="70" spans="1:13">
      <c r="A70" s="114" t="s">
        <v>415</v>
      </c>
      <c r="B70" s="114" t="s">
        <v>530</v>
      </c>
      <c r="C70" s="302">
        <v>32</v>
      </c>
      <c r="D70" s="470" t="str">
        <f>'Register Configuration'!I158</f>
        <v>0xC0030188</v>
      </c>
      <c r="E70" s="114" t="s">
        <v>539</v>
      </c>
      <c r="F70" s="114"/>
      <c r="G70" s="114"/>
      <c r="H70" s="114"/>
      <c r="I70" s="114"/>
      <c r="J70" s="114"/>
      <c r="K70" s="114"/>
      <c r="L70" s="114"/>
      <c r="M70" s="114"/>
    </row>
    <row r="71" spans="1:13">
      <c r="A71" s="114" t="s">
        <v>415</v>
      </c>
      <c r="B71" s="114" t="s">
        <v>531</v>
      </c>
      <c r="C71" s="302">
        <v>32</v>
      </c>
      <c r="D71" s="470" t="str">
        <f>'Register Configuration'!I162</f>
        <v>0x009E0000</v>
      </c>
      <c r="E71" s="114" t="s">
        <v>540</v>
      </c>
      <c r="F71" s="114"/>
      <c r="G71" s="114"/>
      <c r="H71" s="114"/>
      <c r="I71" s="114"/>
      <c r="J71" s="114"/>
      <c r="K71" s="114"/>
      <c r="L71" s="114"/>
      <c r="M71" s="114"/>
    </row>
    <row r="72" spans="1:13">
      <c r="A72" s="114" t="s">
        <v>415</v>
      </c>
      <c r="B72" s="114" t="s">
        <v>532</v>
      </c>
      <c r="C72" s="302">
        <v>32</v>
      </c>
      <c r="D72" s="470" t="str">
        <f>'Register Configuration'!I273</f>
        <v>0x0C500501</v>
      </c>
      <c r="E72" s="114" t="s">
        <v>541</v>
      </c>
      <c r="F72" s="114"/>
      <c r="G72" s="114"/>
      <c r="H72" s="114"/>
      <c r="I72" s="114"/>
      <c r="J72" s="114"/>
      <c r="K72" s="114"/>
      <c r="L72" s="114"/>
      <c r="M72" s="114"/>
    </row>
    <row r="73" spans="1:13">
      <c r="A73" s="114" t="s">
        <v>415</v>
      </c>
      <c r="B73" s="114" t="s">
        <v>533</v>
      </c>
      <c r="C73" s="302">
        <v>32</v>
      </c>
      <c r="D73" s="470" t="str">
        <f>'Register Configuration'!I295</f>
        <v>0x00280400</v>
      </c>
      <c r="E73" s="114" t="s">
        <v>542</v>
      </c>
      <c r="F73" s="114"/>
      <c r="G73" s="114"/>
      <c r="H73" s="114"/>
      <c r="I73" s="114"/>
      <c r="J73" s="114"/>
      <c r="K73" s="114"/>
      <c r="L73" s="114"/>
      <c r="M73" s="114"/>
    </row>
    <row r="74" spans="1:13">
      <c r="A74" s="114" t="s">
        <v>415</v>
      </c>
      <c r="B74" s="114" t="s">
        <v>534</v>
      </c>
      <c r="C74" s="302">
        <v>32</v>
      </c>
      <c r="D74" s="470" t="str">
        <f>'Register Configuration'!I309</f>
        <v>0x00110000</v>
      </c>
      <c r="E74" s="114" t="s">
        <v>543</v>
      </c>
      <c r="F74" s="114"/>
      <c r="G74" s="114"/>
      <c r="H74" s="114"/>
      <c r="I74" s="114"/>
      <c r="J74" s="114"/>
      <c r="K74" s="114"/>
      <c r="L74" s="114"/>
      <c r="M74" s="114"/>
    </row>
    <row r="75" spans="1:13">
      <c r="A75" s="114" t="s">
        <v>415</v>
      </c>
      <c r="B75" s="114" t="s">
        <v>535</v>
      </c>
      <c r="C75" s="302">
        <v>32</v>
      </c>
      <c r="D75" s="470" t="str">
        <f>'Register Configuration'!I312</f>
        <v>0x02000600</v>
      </c>
      <c r="E75" s="114" t="s">
        <v>544</v>
      </c>
      <c r="F75" s="114"/>
      <c r="G75" s="114"/>
      <c r="H75" s="114"/>
      <c r="I75" s="114"/>
      <c r="J75" s="114"/>
      <c r="K75" s="114"/>
      <c r="L75" s="114"/>
      <c r="M75" s="114"/>
    </row>
    <row r="76" spans="1:13">
      <c r="A76" s="114" t="s">
        <v>415</v>
      </c>
      <c r="B76" s="114" t="s">
        <v>536</v>
      </c>
      <c r="C76" s="302">
        <v>32</v>
      </c>
      <c r="D76" s="470" t="str">
        <f>'Register Configuration'!I334</f>
        <v>0x00001010</v>
      </c>
      <c r="E76" s="114" t="s">
        <v>545</v>
      </c>
      <c r="F76" s="114"/>
      <c r="G76" s="114"/>
      <c r="H76" s="114"/>
      <c r="I76" s="114"/>
      <c r="J76" s="114"/>
      <c r="K76" s="114"/>
      <c r="L76" s="114"/>
      <c r="M76" s="114"/>
    </row>
    <row r="77" spans="1:13">
      <c r="A77" s="114" t="s">
        <v>415</v>
      </c>
      <c r="B77" s="114" t="s">
        <v>537</v>
      </c>
      <c r="C77" s="302">
        <v>32</v>
      </c>
      <c r="D77" s="470" t="str">
        <f>'Register Configuration'!I339</f>
        <v>0x00000020</v>
      </c>
      <c r="E77" s="114" t="s">
        <v>638</v>
      </c>
      <c r="F77" s="114"/>
      <c r="G77" s="114"/>
      <c r="H77" s="114"/>
      <c r="I77" s="114"/>
      <c r="J77" s="114"/>
      <c r="K77" s="114"/>
      <c r="L77" s="114"/>
      <c r="M77" s="114"/>
    </row>
    <row r="78" spans="1:13">
      <c r="A78" s="114" t="s">
        <v>415</v>
      </c>
      <c r="B78" s="114" t="s">
        <v>538</v>
      </c>
      <c r="C78" s="302">
        <v>32</v>
      </c>
      <c r="D78" s="470" t="str">
        <f>'Register Configuration'!I165</f>
        <v>0x00000EC7</v>
      </c>
      <c r="E78" s="114" t="s">
        <v>546</v>
      </c>
      <c r="F78" s="114"/>
      <c r="G78" s="114"/>
      <c r="H78" s="114"/>
      <c r="I78" s="114"/>
      <c r="J78" s="114"/>
      <c r="K78" s="114"/>
      <c r="L78" s="114"/>
      <c r="M78" s="114"/>
    </row>
    <row r="79" spans="1:13">
      <c r="E79" s="114"/>
      <c r="F79" s="114"/>
      <c r="G79" s="114"/>
      <c r="H79" s="114"/>
      <c r="I79" s="114"/>
      <c r="J79" s="114"/>
      <c r="K79" s="114"/>
      <c r="L79" s="114"/>
      <c r="M79" s="114"/>
    </row>
    <row r="80" spans="1:13">
      <c r="A80" s="114" t="s">
        <v>415</v>
      </c>
      <c r="B80" s="114" t="s">
        <v>639</v>
      </c>
      <c r="C80" s="302">
        <v>32</v>
      </c>
      <c r="D80" s="470" t="str">
        <f>'Register Configuration'!I189</f>
        <v>0x1618361A</v>
      </c>
      <c r="E80" s="114" t="s">
        <v>651</v>
      </c>
      <c r="F80" s="114"/>
      <c r="G80" s="114"/>
      <c r="H80" s="114"/>
      <c r="I80" s="114"/>
      <c r="J80" s="114"/>
      <c r="K80" s="114"/>
      <c r="L80" s="114"/>
      <c r="M80" s="114"/>
    </row>
    <row r="81" spans="1:13">
      <c r="A81" s="114" t="s">
        <v>415</v>
      </c>
      <c r="B81" s="114" t="s">
        <v>640</v>
      </c>
      <c r="C81" s="302">
        <v>32</v>
      </c>
      <c r="D81" s="470" t="str">
        <f>'Register Configuration'!I194</f>
        <v>0x00050625</v>
      </c>
      <c r="E81" s="114" t="s">
        <v>652</v>
      </c>
      <c r="F81" s="114"/>
      <c r="G81" s="114"/>
      <c r="H81" s="114"/>
      <c r="I81" s="114"/>
      <c r="J81" s="114"/>
      <c r="K81" s="114"/>
      <c r="L81" s="114"/>
      <c r="M81" s="114"/>
    </row>
    <row r="82" spans="1:13">
      <c r="A82" s="114" t="s">
        <v>415</v>
      </c>
      <c r="B82" s="114" t="s">
        <v>641</v>
      </c>
      <c r="C82" s="302">
        <v>32</v>
      </c>
      <c r="D82" s="470" t="str">
        <f>'Register Configuration'!I200</f>
        <v>0x080B0610</v>
      </c>
      <c r="E82" s="114" t="s">
        <v>653</v>
      </c>
      <c r="F82" s="114"/>
      <c r="G82" s="114"/>
      <c r="H82" s="114"/>
      <c r="I82" s="114"/>
      <c r="J82" s="114"/>
      <c r="K82" s="114"/>
      <c r="L82" s="114"/>
      <c r="M82" s="114"/>
    </row>
    <row r="83" spans="1:13">
      <c r="A83" s="114" t="s">
        <v>415</v>
      </c>
      <c r="B83" s="114" t="s">
        <v>642</v>
      </c>
      <c r="C83" s="302">
        <v>32</v>
      </c>
      <c r="D83" s="470" t="str">
        <f>'Register Configuration'!I205</f>
        <v>0x0000400C</v>
      </c>
      <c r="E83" s="114" t="s">
        <v>654</v>
      </c>
      <c r="F83" s="114"/>
      <c r="G83" s="114"/>
      <c r="H83" s="114"/>
      <c r="I83" s="114"/>
      <c r="J83" s="114"/>
      <c r="K83" s="114"/>
      <c r="L83" s="114"/>
      <c r="M83" s="114"/>
    </row>
    <row r="84" spans="1:13">
      <c r="A84" s="114" t="s">
        <v>415</v>
      </c>
      <c r="B84" s="114" t="s">
        <v>643</v>
      </c>
      <c r="C84" s="302">
        <v>32</v>
      </c>
      <c r="D84" s="470" t="str">
        <f>'Register Configuration'!I209</f>
        <v>0x0B04060C</v>
      </c>
      <c r="E84" s="114" t="s">
        <v>655</v>
      </c>
      <c r="F84" s="114"/>
      <c r="G84" s="114"/>
      <c r="H84" s="114"/>
      <c r="I84" s="114"/>
      <c r="J84" s="114"/>
      <c r="K84" s="114"/>
      <c r="L84" s="114"/>
      <c r="M84" s="114"/>
    </row>
    <row r="85" spans="1:13">
      <c r="A85" s="114" t="s">
        <v>415</v>
      </c>
      <c r="B85" s="114" t="s">
        <v>644</v>
      </c>
      <c r="C85" s="302">
        <v>32</v>
      </c>
      <c r="D85" s="470" t="str">
        <f>'Register Configuration'!I214</f>
        <v>0x08080504</v>
      </c>
      <c r="E85" s="114" t="s">
        <v>656</v>
      </c>
      <c r="F85" s="114"/>
      <c r="G85" s="114"/>
      <c r="H85" s="114"/>
      <c r="I85" s="114"/>
      <c r="J85" s="114"/>
      <c r="K85" s="114"/>
      <c r="L85" s="114"/>
      <c r="M85" s="114"/>
    </row>
    <row r="86" spans="1:13">
      <c r="A86" s="114" t="s">
        <v>415</v>
      </c>
      <c r="B86" s="114" t="s">
        <v>645</v>
      </c>
      <c r="C86" s="302">
        <v>32</v>
      </c>
      <c r="D86" s="470" t="str">
        <f>'Register Configuration'!I223</f>
        <v>0x00000808</v>
      </c>
      <c r="E86" s="114" t="s">
        <v>657</v>
      </c>
      <c r="F86" s="114"/>
      <c r="G86" s="114"/>
      <c r="H86" s="114"/>
      <c r="I86" s="114"/>
      <c r="J86" s="114"/>
      <c r="K86" s="114"/>
      <c r="L86" s="114"/>
      <c r="M86" s="114"/>
    </row>
    <row r="87" spans="1:13">
      <c r="A87" s="114" t="s">
        <v>415</v>
      </c>
      <c r="B87" s="114" t="s">
        <v>646</v>
      </c>
      <c r="C87" s="302">
        <v>32</v>
      </c>
      <c r="D87" s="470" t="str">
        <f>'Register Configuration'!I226</f>
        <v>0x06060D0A</v>
      </c>
      <c r="E87" s="114" t="s">
        <v>658</v>
      </c>
      <c r="F87" s="114"/>
      <c r="G87" s="114"/>
      <c r="H87" s="114"/>
      <c r="I87" s="114"/>
      <c r="J87" s="114"/>
      <c r="K87" s="114"/>
      <c r="L87" s="114"/>
      <c r="M87" s="114"/>
    </row>
    <row r="88" spans="1:13">
      <c r="A88" s="114" t="s">
        <v>415</v>
      </c>
      <c r="B88" s="114" t="s">
        <v>647</v>
      </c>
      <c r="C88" s="302">
        <v>32</v>
      </c>
      <c r="D88" s="470" t="str">
        <f>'Register Configuration'!I231</f>
        <v>0x0002050C</v>
      </c>
      <c r="E88" s="114" t="s">
        <v>659</v>
      </c>
      <c r="F88" s="114"/>
      <c r="G88" s="114"/>
      <c r="H88" s="114"/>
      <c r="I88" s="114"/>
      <c r="J88" s="114"/>
      <c r="K88" s="114"/>
      <c r="L88" s="114"/>
      <c r="M88" s="114"/>
    </row>
    <row r="89" spans="1:13">
      <c r="A89" s="114" t="s">
        <v>415</v>
      </c>
      <c r="B89" s="114" t="s">
        <v>648</v>
      </c>
      <c r="C89" s="302">
        <v>32</v>
      </c>
      <c r="D89" s="470" t="str">
        <f>'Register Configuration'!I236</f>
        <v>0x160B010E</v>
      </c>
      <c r="E89" s="114" t="s">
        <v>660</v>
      </c>
      <c r="F89" s="114"/>
      <c r="G89" s="114"/>
      <c r="H89" s="114"/>
      <c r="I89" s="114"/>
      <c r="J89" s="114"/>
      <c r="K89" s="114"/>
      <c r="L89" s="114"/>
      <c r="M89" s="114"/>
    </row>
    <row r="90" spans="1:13">
      <c r="A90" s="114" t="s">
        <v>415</v>
      </c>
      <c r="B90" s="114" t="s">
        <v>649</v>
      </c>
      <c r="C90" s="302">
        <v>32</v>
      </c>
      <c r="D90" s="470" t="str">
        <f>'Register Configuration'!I241</f>
        <v>0x00000008</v>
      </c>
      <c r="E90" s="114" t="s">
        <v>661</v>
      </c>
      <c r="F90" s="114"/>
      <c r="G90" s="114"/>
      <c r="H90" s="114"/>
      <c r="I90" s="114"/>
      <c r="J90" s="114"/>
      <c r="K90" s="114"/>
      <c r="L90" s="114"/>
      <c r="M90" s="114"/>
    </row>
    <row r="91" spans="1:13">
      <c r="A91" s="114" t="s">
        <v>415</v>
      </c>
      <c r="B91" s="114" t="s">
        <v>650</v>
      </c>
      <c r="C91" s="302">
        <v>32</v>
      </c>
      <c r="D91" s="470" t="str">
        <f>'Register Configuration'!I244</f>
        <v>0x00000000</v>
      </c>
      <c r="E91" s="114" t="s">
        <v>662</v>
      </c>
      <c r="F91" s="114"/>
      <c r="G91" s="114"/>
      <c r="H91" s="114"/>
      <c r="I91" s="114"/>
      <c r="J91" s="114"/>
      <c r="K91" s="114"/>
      <c r="L91" s="114"/>
      <c r="M91" s="114"/>
    </row>
    <row r="92" spans="1:13">
      <c r="E92" s="114"/>
      <c r="F92" s="114"/>
      <c r="G92" s="114"/>
      <c r="H92" s="114"/>
      <c r="I92" s="114"/>
      <c r="J92" s="114"/>
      <c r="K92" s="114"/>
      <c r="L92" s="114"/>
      <c r="M92" s="114"/>
    </row>
    <row r="93" spans="1:13">
      <c r="A93" s="114" t="s">
        <v>415</v>
      </c>
      <c r="B93" s="114" t="s">
        <v>699</v>
      </c>
      <c r="C93" s="302">
        <v>32</v>
      </c>
      <c r="D93" s="470" t="str">
        <f>'Register Configuration'!I247</f>
        <v>0x01000040</v>
      </c>
      <c r="E93" s="114" t="s">
        <v>702</v>
      </c>
      <c r="F93" s="114"/>
      <c r="G93" s="114"/>
      <c r="H93" s="114"/>
      <c r="I93" s="114"/>
      <c r="J93" s="114"/>
      <c r="K93" s="114"/>
      <c r="L93" s="114"/>
      <c r="M93" s="114"/>
    </row>
    <row r="94" spans="1:13">
      <c r="A94" s="114" t="s">
        <v>415</v>
      </c>
      <c r="B94" s="114" t="s">
        <v>700</v>
      </c>
      <c r="C94" s="302">
        <v>32</v>
      </c>
      <c r="D94" s="470" t="str">
        <f>'Register Configuration'!I254</f>
        <v>0x000061A8</v>
      </c>
      <c r="E94" s="114" t="s">
        <v>703</v>
      </c>
      <c r="F94" s="114"/>
      <c r="G94" s="114"/>
      <c r="H94" s="114"/>
      <c r="I94" s="114"/>
      <c r="J94" s="114"/>
      <c r="K94" s="114"/>
      <c r="L94" s="114"/>
      <c r="M94" s="114"/>
    </row>
    <row r="95" spans="1:13">
      <c r="E95" s="114"/>
      <c r="F95" s="114"/>
      <c r="G95" s="114"/>
      <c r="H95" s="114"/>
      <c r="I95" s="114"/>
      <c r="J95" s="114"/>
      <c r="K95" s="114"/>
      <c r="L95" s="114"/>
      <c r="M95" s="114"/>
    </row>
    <row r="96" spans="1:13">
      <c r="A96" s="114" t="s">
        <v>415</v>
      </c>
      <c r="B96" s="114" t="s">
        <v>706</v>
      </c>
      <c r="C96" s="302">
        <v>32</v>
      </c>
      <c r="D96" s="470" t="str">
        <f>'Register Configuration'!I350</f>
        <v>0x0391820B</v>
      </c>
      <c r="E96" s="114" t="s">
        <v>718</v>
      </c>
      <c r="F96" s="114"/>
      <c r="G96" s="114"/>
      <c r="H96" s="114"/>
      <c r="I96" s="114"/>
      <c r="J96" s="114"/>
      <c r="K96" s="114"/>
      <c r="L96" s="114"/>
      <c r="M96" s="114"/>
    </row>
    <row r="97" spans="1:13">
      <c r="A97" s="114" t="s">
        <v>415</v>
      </c>
      <c r="B97" s="114" t="s">
        <v>707</v>
      </c>
      <c r="C97" s="302">
        <v>32</v>
      </c>
      <c r="D97" s="470" t="str">
        <f>'Register Configuration'!I357</f>
        <v>0x02020303</v>
      </c>
      <c r="E97" s="114" t="s">
        <v>719</v>
      </c>
      <c r="F97" s="114"/>
      <c r="G97" s="114"/>
      <c r="H97" s="114"/>
      <c r="I97" s="114"/>
      <c r="J97" s="114"/>
      <c r="K97" s="114"/>
      <c r="L97" s="114"/>
      <c r="M97" s="114"/>
    </row>
    <row r="98" spans="1:13">
      <c r="A98" s="114" t="s">
        <v>415</v>
      </c>
      <c r="B98" s="114" t="s">
        <v>708</v>
      </c>
      <c r="C98" s="302">
        <v>32</v>
      </c>
      <c r="D98" s="470" t="str">
        <f>'Register Configuration'!I368</f>
        <v>0x07F04011</v>
      </c>
      <c r="E98" s="114" t="s">
        <v>720</v>
      </c>
      <c r="F98" s="114"/>
      <c r="G98" s="114"/>
      <c r="H98" s="114"/>
      <c r="I98" s="114"/>
      <c r="J98" s="114"/>
      <c r="K98" s="114"/>
      <c r="L98" s="114"/>
      <c r="M98" s="114"/>
    </row>
    <row r="99" spans="1:13">
      <c r="A99" s="114" t="s">
        <v>415</v>
      </c>
      <c r="B99" s="114" t="s">
        <v>709</v>
      </c>
      <c r="C99" s="302">
        <v>32</v>
      </c>
      <c r="D99" s="470" t="str">
        <f>'Register Configuration'!I376</f>
        <v>0x000000B0</v>
      </c>
      <c r="E99" s="114" t="s">
        <v>721</v>
      </c>
      <c r="F99" s="114"/>
      <c r="G99" s="114"/>
      <c r="H99" s="114"/>
      <c r="I99" s="114"/>
      <c r="J99" s="114"/>
      <c r="K99" s="114"/>
      <c r="L99" s="114"/>
      <c r="M99" s="114"/>
    </row>
    <row r="100" spans="1:13">
      <c r="A100" s="114" t="s">
        <v>415</v>
      </c>
      <c r="B100" s="114" t="s">
        <v>710</v>
      </c>
      <c r="C100" s="302">
        <v>32</v>
      </c>
      <c r="D100" s="470" t="str">
        <f>'Register Configuration'!I384</f>
        <v>0xE0400018</v>
      </c>
      <c r="E100" s="114" t="s">
        <v>722</v>
      </c>
      <c r="F100" s="114"/>
      <c r="G100" s="114"/>
      <c r="H100" s="114"/>
      <c r="I100" s="114"/>
      <c r="J100" s="114"/>
      <c r="K100" s="114"/>
      <c r="L100" s="114"/>
      <c r="M100" s="114"/>
    </row>
    <row r="101" spans="1:13">
      <c r="A101" s="114" t="s">
        <v>415</v>
      </c>
      <c r="B101" s="114" t="s">
        <v>711</v>
      </c>
      <c r="C101" s="302">
        <v>32</v>
      </c>
      <c r="D101" s="470" t="str">
        <f>'Register Configuration'!I390</f>
        <v>0x0048005A</v>
      </c>
      <c r="E101" s="114" t="s">
        <v>723</v>
      </c>
      <c r="F101" s="114"/>
      <c r="G101" s="114"/>
      <c r="H101" s="114"/>
      <c r="I101" s="114"/>
      <c r="J101" s="114"/>
      <c r="K101" s="114"/>
      <c r="L101" s="114"/>
      <c r="M101" s="114"/>
    </row>
    <row r="102" spans="1:13">
      <c r="A102" s="114" t="s">
        <v>415</v>
      </c>
      <c r="B102" s="114" t="s">
        <v>712</v>
      </c>
      <c r="C102" s="302">
        <v>32</v>
      </c>
      <c r="D102" s="470" t="str">
        <f>'Register Configuration'!I393</f>
        <v>0x80000000</v>
      </c>
      <c r="E102" s="114" t="s">
        <v>724</v>
      </c>
      <c r="F102" s="114"/>
      <c r="G102" s="114"/>
      <c r="H102" s="114"/>
      <c r="I102" s="114"/>
      <c r="J102" s="114"/>
      <c r="K102" s="114"/>
      <c r="L102" s="114"/>
      <c r="M102" s="114"/>
    </row>
    <row r="103" spans="1:13">
      <c r="A103" s="114" t="s">
        <v>415</v>
      </c>
      <c r="B103" s="114" t="s">
        <v>713</v>
      </c>
      <c r="C103" s="302">
        <v>32</v>
      </c>
      <c r="D103" s="470" t="str">
        <f>'Register Configuration'!I379</f>
        <v>0x00000001</v>
      </c>
      <c r="E103" s="114" t="s">
        <v>725</v>
      </c>
      <c r="F103" s="114"/>
      <c r="G103" s="114"/>
      <c r="H103" s="114"/>
      <c r="I103" s="114"/>
      <c r="J103" s="114"/>
      <c r="K103" s="114"/>
      <c r="L103" s="114"/>
      <c r="M103" s="114"/>
    </row>
    <row r="104" spans="1:13">
      <c r="A104" s="114" t="s">
        <v>415</v>
      </c>
      <c r="B104" s="114" t="s">
        <v>714</v>
      </c>
      <c r="C104" s="302">
        <v>32</v>
      </c>
      <c r="D104" s="470" t="str">
        <f>'Register Configuration'!I363</f>
        <v>0x0000110B</v>
      </c>
      <c r="E104" s="114" t="s">
        <v>726</v>
      </c>
      <c r="F104" s="114"/>
      <c r="G104" s="114"/>
      <c r="H104" s="114"/>
      <c r="I104" s="114"/>
      <c r="J104" s="114"/>
      <c r="K104" s="114"/>
      <c r="L104" s="114"/>
      <c r="M104" s="114"/>
    </row>
    <row r="105" spans="1:13">
      <c r="A105" s="114" t="s">
        <v>415</v>
      </c>
      <c r="B105" s="114" t="s">
        <v>715</v>
      </c>
      <c r="C105" s="302">
        <v>32</v>
      </c>
      <c r="D105" s="470" t="str">
        <f>'Register Configuration'!I366</f>
        <v>0x00000004</v>
      </c>
      <c r="E105" s="114" t="s">
        <v>727</v>
      </c>
      <c r="F105" s="114"/>
      <c r="G105" s="114"/>
      <c r="H105" s="114"/>
      <c r="I105" s="114"/>
      <c r="J105" s="114"/>
      <c r="K105" s="114"/>
      <c r="L105" s="114"/>
      <c r="M105" s="114"/>
    </row>
    <row r="106" spans="1:13">
      <c r="A106" s="114" t="s">
        <v>415</v>
      </c>
      <c r="B106" s="114" t="s">
        <v>716</v>
      </c>
      <c r="C106" s="302">
        <v>32</v>
      </c>
      <c r="D106" s="470" t="str">
        <f>'Register Configuration'!I395</f>
        <v>0x00000001</v>
      </c>
      <c r="E106" s="114" t="s">
        <v>728</v>
      </c>
      <c r="F106" s="114"/>
      <c r="G106" s="114"/>
      <c r="H106" s="114"/>
      <c r="I106" s="114"/>
      <c r="J106" s="114"/>
      <c r="K106" s="114"/>
      <c r="L106" s="114"/>
      <c r="M106" s="114"/>
    </row>
    <row r="107" spans="1:13">
      <c r="A107" s="114" t="s">
        <v>415</v>
      </c>
      <c r="B107" s="114" t="s">
        <v>717</v>
      </c>
      <c r="C107" s="302">
        <v>32</v>
      </c>
      <c r="D107" s="470" t="str">
        <f>'Register Configuration'!I399</f>
        <v>0x00000000</v>
      </c>
      <c r="E107" s="114" t="s">
        <v>770</v>
      </c>
      <c r="F107" s="114"/>
      <c r="G107" s="114"/>
      <c r="H107" s="114"/>
      <c r="I107" s="114"/>
      <c r="J107" s="114"/>
      <c r="K107" s="114"/>
      <c r="L107" s="114"/>
      <c r="M107" s="114"/>
    </row>
    <row r="108" spans="1:13">
      <c r="E108" s="114"/>
      <c r="F108" s="114"/>
      <c r="G108" s="114"/>
      <c r="H108" s="114"/>
      <c r="I108" s="114"/>
      <c r="J108" s="114"/>
      <c r="K108" s="114"/>
      <c r="L108" s="114"/>
      <c r="M108" s="114"/>
    </row>
    <row r="109" spans="1:13">
      <c r="A109" s="114" t="s">
        <v>415</v>
      </c>
      <c r="B109" s="114" t="s">
        <v>774</v>
      </c>
      <c r="C109" s="302">
        <v>32</v>
      </c>
      <c r="D109" s="470" t="str">
        <f>'Register Configuration'!I69</f>
        <v>0x0000001F</v>
      </c>
      <c r="E109" s="114" t="s">
        <v>783</v>
      </c>
      <c r="F109" s="114"/>
      <c r="G109" s="114"/>
      <c r="H109" s="114"/>
      <c r="I109" s="114"/>
      <c r="J109" s="114"/>
      <c r="K109" s="114"/>
      <c r="L109" s="114"/>
      <c r="M109" s="114"/>
    </row>
    <row r="110" spans="1:13">
      <c r="A110" s="114" t="s">
        <v>415</v>
      </c>
      <c r="B110" s="114" t="s">
        <v>775</v>
      </c>
      <c r="C110" s="302">
        <v>32</v>
      </c>
      <c r="D110" s="470" t="str">
        <f>'Register Configuration'!I72</f>
        <v>0x003F0909</v>
      </c>
      <c r="E110" s="114" t="s">
        <v>784</v>
      </c>
      <c r="F110" s="114"/>
      <c r="G110" s="114"/>
      <c r="H110" s="114"/>
      <c r="I110" s="114"/>
      <c r="J110" s="114"/>
      <c r="K110" s="114"/>
      <c r="L110" s="114"/>
      <c r="M110" s="114"/>
    </row>
    <row r="111" spans="1:13">
      <c r="A111" s="114" t="s">
        <v>415</v>
      </c>
      <c r="B111" s="114" t="s">
        <v>776</v>
      </c>
      <c r="C111" s="302">
        <v>32</v>
      </c>
      <c r="D111" s="470" t="str">
        <f>'Register Configuration'!I76</f>
        <v>0x00000700</v>
      </c>
      <c r="E111" s="114" t="s">
        <v>785</v>
      </c>
      <c r="F111" s="114"/>
      <c r="G111" s="114"/>
      <c r="H111" s="114"/>
      <c r="I111" s="114"/>
      <c r="J111" s="114"/>
      <c r="K111" s="114"/>
      <c r="L111" s="114"/>
      <c r="M111" s="114"/>
    </row>
    <row r="112" spans="1:13">
      <c r="A112" s="114" t="s">
        <v>415</v>
      </c>
      <c r="B112" s="114" t="s">
        <v>777</v>
      </c>
      <c r="C112" s="302">
        <v>32</v>
      </c>
      <c r="D112" s="470" t="str">
        <f>'Register Configuration'!I81</f>
        <v>0x00000000</v>
      </c>
      <c r="E112" s="114" t="s">
        <v>786</v>
      </c>
      <c r="F112" s="114"/>
      <c r="G112" s="114"/>
      <c r="H112" s="114"/>
      <c r="I112" s="114"/>
      <c r="J112" s="114"/>
      <c r="K112" s="114"/>
      <c r="L112" s="114"/>
      <c r="M112" s="114"/>
    </row>
    <row r="113" spans="1:13">
      <c r="A113" s="114" t="s">
        <v>415</v>
      </c>
      <c r="B113" s="114" t="s">
        <v>778</v>
      </c>
      <c r="C113" s="302">
        <v>32</v>
      </c>
      <c r="D113" s="470" t="str">
        <f>'Register Configuration'!I86</f>
        <v>0x00001F1F</v>
      </c>
      <c r="E113" s="114" t="s">
        <v>787</v>
      </c>
      <c r="F113" s="114"/>
      <c r="G113" s="114"/>
      <c r="H113" s="114"/>
      <c r="I113" s="114"/>
      <c r="J113" s="114"/>
      <c r="K113" s="114"/>
      <c r="L113" s="114"/>
      <c r="M113" s="114"/>
    </row>
    <row r="114" spans="1:13">
      <c r="A114" s="114" t="s">
        <v>415</v>
      </c>
      <c r="B114" s="114" t="s">
        <v>779</v>
      </c>
      <c r="C114" s="302">
        <v>32</v>
      </c>
      <c r="D114" s="470" t="str">
        <f>'Register Configuration'!I90</f>
        <v>0x07070707</v>
      </c>
      <c r="E114" s="114" t="s">
        <v>788</v>
      </c>
      <c r="F114" s="114"/>
      <c r="G114" s="114"/>
      <c r="H114" s="114"/>
      <c r="I114" s="114"/>
      <c r="J114" s="114"/>
      <c r="K114" s="114"/>
      <c r="L114" s="114"/>
      <c r="M114" s="114"/>
    </row>
    <row r="115" spans="1:13">
      <c r="A115" s="114" t="s">
        <v>415</v>
      </c>
      <c r="B115" s="114" t="s">
        <v>780</v>
      </c>
      <c r="C115" s="302">
        <v>32</v>
      </c>
      <c r="D115" s="470" t="str">
        <f>'Register Configuration'!I95</f>
        <v>0x07070707</v>
      </c>
      <c r="E115" s="114" t="s">
        <v>789</v>
      </c>
      <c r="F115" s="114"/>
      <c r="G115" s="114"/>
      <c r="H115" s="114"/>
      <c r="I115" s="114"/>
      <c r="J115" s="114"/>
      <c r="K115" s="114"/>
      <c r="L115" s="114"/>
      <c r="M115" s="114"/>
    </row>
    <row r="116" spans="1:13">
      <c r="A116" s="114" t="s">
        <v>415</v>
      </c>
      <c r="B116" s="114" t="s">
        <v>781</v>
      </c>
      <c r="C116" s="302">
        <v>32</v>
      </c>
      <c r="D116" s="470" t="str">
        <f>'Register Configuration'!I102</f>
        <v>0x00000F07</v>
      </c>
      <c r="E116" s="114" t="s">
        <v>790</v>
      </c>
      <c r="F116" s="114"/>
      <c r="G116" s="114"/>
      <c r="H116" s="114"/>
      <c r="I116" s="114"/>
      <c r="J116" s="114"/>
      <c r="K116" s="114"/>
      <c r="L116" s="114"/>
      <c r="M116" s="114"/>
    </row>
    <row r="117" spans="1:13">
      <c r="A117" s="114" t="s">
        <v>415</v>
      </c>
      <c r="B117" s="114" t="s">
        <v>782</v>
      </c>
      <c r="C117" s="302">
        <v>32</v>
      </c>
      <c r="D117" s="470" t="str">
        <f>'Register Configuration'!I105</f>
        <v>0x00003F01</v>
      </c>
      <c r="E117" s="114" t="s">
        <v>791</v>
      </c>
      <c r="F117" s="114"/>
      <c r="G117" s="114"/>
      <c r="H117" s="114"/>
      <c r="I117" s="114"/>
      <c r="J117" s="114"/>
      <c r="K117" s="114"/>
      <c r="L117" s="114"/>
      <c r="M117" s="114"/>
    </row>
    <row r="118" spans="1:13">
      <c r="E118" s="114"/>
      <c r="F118" s="114"/>
      <c r="G118" s="114"/>
      <c r="H118" s="114"/>
      <c r="I118" s="114"/>
      <c r="J118" s="114"/>
      <c r="K118" s="114"/>
      <c r="L118" s="114"/>
      <c r="M118" s="114"/>
    </row>
    <row r="119" spans="1:13">
      <c r="A119" s="114" t="s">
        <v>415</v>
      </c>
      <c r="B119" s="114" t="s">
        <v>961</v>
      </c>
      <c r="C119" s="302">
        <v>32</v>
      </c>
      <c r="D119" s="470" t="str">
        <f>'Register Configuration'!I257</f>
        <v>0x06000618</v>
      </c>
      <c r="E119" s="114" t="s">
        <v>960</v>
      </c>
      <c r="F119" s="114"/>
      <c r="G119" s="114"/>
      <c r="H119" s="114"/>
      <c r="I119" s="114"/>
      <c r="J119" s="114"/>
      <c r="K119" s="114"/>
      <c r="L119" s="114"/>
      <c r="M119" s="114"/>
    </row>
    <row r="120" spans="1:13">
      <c r="A120" s="114" t="s">
        <v>415</v>
      </c>
      <c r="B120" s="114" t="s">
        <v>819</v>
      </c>
      <c r="C120" s="302">
        <v>32</v>
      </c>
      <c r="D120" s="470" t="str">
        <f>'Register Configuration'!I264</f>
        <v>0x00001323</v>
      </c>
      <c r="E120" s="114" t="s">
        <v>820</v>
      </c>
      <c r="F120" s="114"/>
      <c r="G120" s="114"/>
      <c r="H120" s="114"/>
      <c r="I120" s="114"/>
      <c r="J120" s="114"/>
      <c r="K120" s="114"/>
      <c r="L120" s="114"/>
      <c r="M120" s="114"/>
    </row>
    <row r="121" spans="1:13">
      <c r="E121" s="114"/>
      <c r="F121" s="114"/>
      <c r="G121" s="114"/>
      <c r="H121" s="114"/>
      <c r="I121" s="114"/>
      <c r="J121" s="114"/>
      <c r="K121" s="114"/>
      <c r="L121" s="114"/>
      <c r="M121" s="114"/>
    </row>
    <row r="122" spans="1:13">
      <c r="A122" s="114" t="s">
        <v>881</v>
      </c>
      <c r="E122" s="114"/>
      <c r="F122" s="114"/>
      <c r="G122" s="114"/>
      <c r="H122" s="114"/>
      <c r="I122" s="114"/>
      <c r="J122" s="114"/>
      <c r="K122" s="114"/>
      <c r="L122" s="114"/>
      <c r="M122" s="114"/>
    </row>
    <row r="123" spans="1:13">
      <c r="A123" s="114" t="s">
        <v>415</v>
      </c>
      <c r="B123" s="114" t="s">
        <v>1260</v>
      </c>
      <c r="C123" s="302">
        <v>32</v>
      </c>
      <c r="D123" s="470" t="str">
        <f>'Register Configuration'!I403</f>
        <v>0x00001A05</v>
      </c>
      <c r="E123" s="114" t="s">
        <v>1262</v>
      </c>
      <c r="F123" s="114"/>
      <c r="G123" s="114"/>
      <c r="H123" s="114"/>
      <c r="I123" s="114"/>
      <c r="J123" s="114"/>
      <c r="K123" s="114"/>
      <c r="L123" s="114"/>
      <c r="M123" s="114"/>
    </row>
    <row r="124" spans="1:13">
      <c r="A124" s="114" t="s">
        <v>415</v>
      </c>
      <c r="B124" s="114" t="s">
        <v>1261</v>
      </c>
      <c r="C124" s="302">
        <v>32</v>
      </c>
      <c r="D124" s="470" t="str">
        <f>'Register Configuration'!I410</f>
        <v>0x0000001F</v>
      </c>
      <c r="E124" s="114" t="s">
        <v>1263</v>
      </c>
      <c r="F124" s="114"/>
      <c r="G124" s="114"/>
      <c r="H124" s="114"/>
      <c r="I124" s="114"/>
      <c r="J124" s="114"/>
      <c r="K124" s="114"/>
      <c r="L124" s="114"/>
      <c r="M124" s="114"/>
    </row>
    <row r="125" spans="1:13">
      <c r="A125" s="114" t="s">
        <v>415</v>
      </c>
      <c r="B125" s="114" t="s">
        <v>821</v>
      </c>
      <c r="C125" s="302">
        <v>32</v>
      </c>
      <c r="D125" s="470" t="str">
        <f>'Register Configuration'!I412</f>
        <v>0x10000010</v>
      </c>
      <c r="E125" s="114" t="s">
        <v>832</v>
      </c>
      <c r="F125" s="114"/>
      <c r="G125" s="114"/>
      <c r="H125" s="114"/>
      <c r="I125" s="114"/>
      <c r="J125" s="114"/>
      <c r="K125" s="114"/>
      <c r="L125" s="114"/>
      <c r="M125" s="114"/>
    </row>
    <row r="126" spans="1:13">
      <c r="A126" s="114" t="s">
        <v>415</v>
      </c>
      <c r="B126" s="114" t="s">
        <v>822</v>
      </c>
      <c r="C126" s="302">
        <v>32</v>
      </c>
      <c r="D126" s="470" t="str">
        <f>'Register Configuration'!I415</f>
        <v>0x100000FF</v>
      </c>
      <c r="E126" s="114" t="s">
        <v>833</v>
      </c>
      <c r="F126" s="114"/>
      <c r="G126" s="114"/>
      <c r="H126" s="114"/>
      <c r="I126" s="114"/>
      <c r="J126" s="114"/>
      <c r="K126" s="114"/>
      <c r="L126" s="114"/>
      <c r="M126" s="114"/>
    </row>
    <row r="127" spans="1:13">
      <c r="A127" s="114" t="s">
        <v>415</v>
      </c>
      <c r="B127" s="114" t="s">
        <v>823</v>
      </c>
      <c r="C127" s="302">
        <v>32</v>
      </c>
      <c r="D127" s="470" t="str">
        <f>'Register Configuration'!I418</f>
        <v>0x100002FF</v>
      </c>
      <c r="E127" s="114" t="s">
        <v>834</v>
      </c>
      <c r="F127" s="114"/>
      <c r="G127" s="114"/>
      <c r="H127" s="114"/>
      <c r="I127" s="114"/>
      <c r="J127" s="114"/>
      <c r="K127" s="114"/>
      <c r="L127" s="114"/>
      <c r="M127" s="114"/>
    </row>
    <row r="128" spans="1:13">
      <c r="A128" s="114" t="s">
        <v>415</v>
      </c>
      <c r="B128" s="114" t="s">
        <v>824</v>
      </c>
      <c r="C128" s="302">
        <v>32</v>
      </c>
      <c r="D128" s="470" t="str">
        <f>'Register Configuration'!I422</f>
        <v>0x00000000</v>
      </c>
      <c r="E128" s="114" t="s">
        <v>836</v>
      </c>
      <c r="F128" s="114"/>
      <c r="G128" s="114"/>
      <c r="H128" s="114"/>
      <c r="I128" s="114"/>
      <c r="J128" s="114"/>
      <c r="K128" s="114"/>
      <c r="L128" s="114"/>
      <c r="M128" s="114"/>
    </row>
    <row r="129" spans="1:13">
      <c r="A129" s="114" t="s">
        <v>415</v>
      </c>
      <c r="B129" s="114" t="s">
        <v>825</v>
      </c>
      <c r="C129" s="302">
        <v>32</v>
      </c>
      <c r="D129" s="470" t="str">
        <f>'Register Configuration'!I429</f>
        <v>0x00000100</v>
      </c>
      <c r="E129" s="114" t="s">
        <v>837</v>
      </c>
      <c r="F129" s="114"/>
      <c r="G129" s="114"/>
      <c r="H129" s="114"/>
      <c r="I129" s="114"/>
      <c r="J129" s="114"/>
      <c r="K129" s="114"/>
      <c r="L129" s="114"/>
      <c r="M129" s="114"/>
    </row>
    <row r="130" spans="1:13">
      <c r="A130" s="114" t="s">
        <v>415</v>
      </c>
      <c r="B130" s="114" t="s">
        <v>826</v>
      </c>
      <c r="C130" s="302">
        <v>32</v>
      </c>
      <c r="D130" s="470" t="str">
        <f>'Register Configuration'!I433</f>
        <v>0x000072FF</v>
      </c>
      <c r="E130" s="114" t="s">
        <v>838</v>
      </c>
      <c r="F130" s="114"/>
      <c r="G130" s="114"/>
      <c r="H130" s="114"/>
      <c r="I130" s="114"/>
      <c r="J130" s="114"/>
      <c r="K130" s="114"/>
      <c r="L130" s="114"/>
      <c r="M130" s="114"/>
    </row>
    <row r="131" spans="1:13">
      <c r="A131" s="114" t="s">
        <v>415</v>
      </c>
      <c r="B131" s="114" t="s">
        <v>827</v>
      </c>
      <c r="C131" s="302">
        <v>32</v>
      </c>
      <c r="D131" s="470" t="str">
        <f>'Register Configuration'!I440</f>
        <v>0x000072FF</v>
      </c>
      <c r="E131" s="114" t="s">
        <v>839</v>
      </c>
      <c r="F131" s="114"/>
      <c r="G131" s="114"/>
      <c r="H131" s="114"/>
      <c r="I131" s="114"/>
      <c r="J131" s="114"/>
      <c r="K131" s="114"/>
      <c r="L131" s="114"/>
      <c r="M131" s="114"/>
    </row>
    <row r="132" spans="1:13">
      <c r="A132" s="114" t="s">
        <v>415</v>
      </c>
      <c r="B132" s="114" t="s">
        <v>828</v>
      </c>
      <c r="C132" s="302">
        <v>32</v>
      </c>
      <c r="D132" s="470" t="str">
        <f>'Register Configuration'!I445</f>
        <v>0x02100E07</v>
      </c>
      <c r="E132" s="114" t="s">
        <v>840</v>
      </c>
      <c r="F132" s="114"/>
      <c r="G132" s="114"/>
      <c r="H132" s="114"/>
      <c r="I132" s="114"/>
      <c r="J132" s="114"/>
      <c r="K132" s="114"/>
      <c r="L132" s="114"/>
      <c r="M132" s="114"/>
    </row>
    <row r="133" spans="1:13">
      <c r="A133" s="114" t="s">
        <v>415</v>
      </c>
      <c r="B133" s="114" t="s">
        <v>829</v>
      </c>
      <c r="C133" s="302">
        <v>32</v>
      </c>
      <c r="D133" s="470" t="str">
        <f>'Register Configuration'!I451</f>
        <v>0x00620096</v>
      </c>
      <c r="E133" s="114" t="s">
        <v>841</v>
      </c>
      <c r="F133" s="114"/>
      <c r="G133" s="114"/>
      <c r="H133" s="114"/>
      <c r="I133" s="114"/>
      <c r="J133" s="114"/>
      <c r="K133" s="114"/>
      <c r="L133" s="114"/>
      <c r="M133" s="114"/>
    </row>
    <row r="134" spans="1:13">
      <c r="A134" s="114" t="s">
        <v>415</v>
      </c>
      <c r="B134" s="114" t="s">
        <v>830</v>
      </c>
      <c r="C134" s="302">
        <v>32</v>
      </c>
      <c r="D134" s="470" t="str">
        <f>'Register Configuration'!I454</f>
        <v>0x01100E07</v>
      </c>
      <c r="E134" s="114" t="s">
        <v>842</v>
      </c>
      <c r="F134" s="114"/>
      <c r="G134" s="114"/>
      <c r="H134" s="114"/>
      <c r="I134" s="114"/>
      <c r="J134" s="114"/>
      <c r="K134" s="114"/>
      <c r="L134" s="114"/>
      <c r="M134" s="114"/>
    </row>
    <row r="135" spans="1:13">
      <c r="A135" s="114" t="s">
        <v>415</v>
      </c>
      <c r="B135" s="114" t="s">
        <v>831</v>
      </c>
      <c r="C135" s="302">
        <v>32</v>
      </c>
      <c r="D135" s="470" t="str">
        <f>'Register Configuration'!I460</f>
        <v>0x00C8012C</v>
      </c>
      <c r="E135" s="114" t="s">
        <v>843</v>
      </c>
      <c r="F135" s="114"/>
      <c r="G135" s="114"/>
      <c r="H135" s="114"/>
      <c r="I135" s="114"/>
      <c r="J135" s="114"/>
      <c r="K135" s="114"/>
      <c r="L135" s="114"/>
      <c r="M135" s="114"/>
    </row>
    <row r="136" spans="1:13">
      <c r="D136" s="471"/>
      <c r="E136" s="114"/>
      <c r="F136" s="114"/>
      <c r="G136" s="114"/>
      <c r="H136" s="114"/>
      <c r="I136" s="114"/>
      <c r="J136" s="114"/>
      <c r="K136" s="114"/>
      <c r="L136" s="114"/>
      <c r="M136" s="114"/>
    </row>
    <row r="137" spans="1:13">
      <c r="A137" s="114" t="str">
        <f>"# DDR-"&amp; 'Register Configuration'!C34 &amp;"MHz clock configuration"</f>
        <v># DDR-668MHz clock configuration</v>
      </c>
      <c r="D137" s="471"/>
      <c r="E137" s="114"/>
      <c r="F137" s="114"/>
      <c r="G137" s="114"/>
      <c r="H137" s="114"/>
      <c r="I137" s="114"/>
      <c r="J137" s="114"/>
      <c r="K137" s="114"/>
      <c r="L137" s="114"/>
      <c r="M137" s="114"/>
    </row>
    <row r="138" spans="1:13">
      <c r="A138" s="114" t="str">
        <f>IF('Register Configuration'!G31 &gt; 1, "memory set", "#memory set")</f>
        <v>memory set</v>
      </c>
      <c r="B138" s="114" t="s">
        <v>965</v>
      </c>
      <c r="C138" s="302">
        <v>32</v>
      </c>
      <c r="D138" s="470" t="str">
        <f>'Register Configuration'!I550</f>
        <v>0x00210070</v>
      </c>
      <c r="E138" s="114" t="s">
        <v>989</v>
      </c>
      <c r="F138" s="114"/>
      <c r="G138" s="114"/>
      <c r="H138" s="114"/>
      <c r="I138" s="114"/>
      <c r="J138" s="114"/>
      <c r="K138" s="114"/>
      <c r="L138" s="114"/>
      <c r="M138" s="114"/>
    </row>
    <row r="139" spans="1:13">
      <c r="A139" s="114" t="str">
        <f>IF('Register Configuration'!G31 &gt; 1, "memory set", "#memory set")</f>
        <v>memory set</v>
      </c>
      <c r="B139" s="114" t="s">
        <v>966</v>
      </c>
      <c r="C139" s="302">
        <v>32</v>
      </c>
      <c r="D139" s="470" t="str">
        <f>'Register Configuration'!I555</f>
        <v>0x00510075</v>
      </c>
      <c r="E139" s="114" t="s">
        <v>990</v>
      </c>
      <c r="F139" s="114"/>
      <c r="G139" s="114"/>
      <c r="H139" s="114"/>
      <c r="I139" s="114"/>
      <c r="J139" s="114"/>
      <c r="K139" s="114"/>
      <c r="L139" s="114"/>
      <c r="M139" s="114"/>
    </row>
    <row r="140" spans="1:13">
      <c r="A140" s="114" t="str">
        <f>IF('Register Configuration'!G31 &gt; 1, "memory set", "#memory set")</f>
        <v>memory set</v>
      </c>
      <c r="B140" s="114" t="s">
        <v>967</v>
      </c>
      <c r="C140" s="302">
        <v>32</v>
      </c>
      <c r="D140" s="470" t="str">
        <f>'Register Configuration'!I589</f>
        <v>0x00040501</v>
      </c>
      <c r="E140" s="114" t="s">
        <v>991</v>
      </c>
      <c r="F140" s="114"/>
      <c r="G140" s="114"/>
      <c r="H140" s="114"/>
      <c r="I140" s="114"/>
      <c r="J140" s="114"/>
      <c r="K140" s="114"/>
      <c r="L140" s="114"/>
      <c r="M140" s="114"/>
    </row>
    <row r="141" spans="1:13">
      <c r="A141" s="114" t="str">
        <f>IF('Register Configuration'!G31 &gt; 1, "memory set", "#memory set")</f>
        <v>memory set</v>
      </c>
      <c r="B141" s="114" t="s">
        <v>968</v>
      </c>
      <c r="C141" s="302">
        <v>32</v>
      </c>
      <c r="D141" s="470" t="str">
        <f>'Register Configuration'!I611</f>
        <v>0x00000000</v>
      </c>
      <c r="E141" s="114" t="s">
        <v>992</v>
      </c>
      <c r="F141" s="114"/>
      <c r="G141" s="114"/>
      <c r="H141" s="114"/>
      <c r="I141" s="114"/>
      <c r="J141" s="114"/>
      <c r="K141" s="114"/>
      <c r="L141" s="114"/>
      <c r="M141" s="114"/>
    </row>
    <row r="142" spans="1:13">
      <c r="A142" s="114" t="str">
        <f>IF('Register Configuration'!G31 &gt; 1, "memory set", "#memory set")</f>
        <v>memory set</v>
      </c>
      <c r="B142" s="114" t="s">
        <v>969</v>
      </c>
      <c r="C142" s="302">
        <v>32</v>
      </c>
      <c r="D142" s="470" t="str">
        <f>'Register Configuration'!I625</f>
        <v>0x02000600</v>
      </c>
      <c r="E142" s="114" t="s">
        <v>993</v>
      </c>
      <c r="F142" s="114"/>
      <c r="G142" s="114"/>
      <c r="H142" s="114"/>
      <c r="I142" s="114"/>
      <c r="J142" s="114"/>
      <c r="K142" s="114"/>
      <c r="L142" s="114"/>
      <c r="M142" s="114"/>
    </row>
    <row r="143" spans="1:13">
      <c r="A143" s="114" t="str">
        <f>IF('Register Configuration'!G31 &gt; 1, "memory set", "#memory set")</f>
        <v>memory set</v>
      </c>
      <c r="B143" s="114" t="s">
        <v>970</v>
      </c>
      <c r="C143" s="302">
        <v>32</v>
      </c>
      <c r="D143" s="470" t="str">
        <f>'Register Configuration'!I647</f>
        <v>0x00000410</v>
      </c>
      <c r="E143" s="114" t="s">
        <v>994</v>
      </c>
      <c r="F143" s="114"/>
      <c r="G143" s="114"/>
      <c r="H143" s="114"/>
      <c r="I143" s="114"/>
      <c r="J143" s="114"/>
      <c r="K143" s="114"/>
      <c r="L143" s="114"/>
      <c r="M143" s="114"/>
    </row>
    <row r="144" spans="1:13">
      <c r="A144" s="114" t="str">
        <f>IF('Register Configuration'!G31 &gt; 1, "memory set", "#memory set")</f>
        <v>memory set</v>
      </c>
      <c r="B144" s="114" t="s">
        <v>971</v>
      </c>
      <c r="C144" s="302">
        <v>32</v>
      </c>
      <c r="D144" s="470" t="str">
        <f>'Register Configuration'!I498</f>
        <v>0x0C0B160B</v>
      </c>
      <c r="E144" s="114" t="s">
        <v>995</v>
      </c>
      <c r="F144" s="114"/>
      <c r="G144" s="114"/>
      <c r="H144" s="114"/>
      <c r="I144" s="114"/>
      <c r="J144" s="114"/>
      <c r="K144" s="114"/>
      <c r="L144" s="114"/>
      <c r="M144" s="114"/>
    </row>
    <row r="145" spans="1:13">
      <c r="A145" s="114" t="str">
        <f>IF('Register Configuration'!G31 &gt; 1, "memory set", "#memory set")</f>
        <v>memory set</v>
      </c>
      <c r="B145" s="114" t="s">
        <v>972</v>
      </c>
      <c r="C145" s="302">
        <v>32</v>
      </c>
      <c r="D145" s="470" t="str">
        <f>'Register Configuration'!I503</f>
        <v>0x00030310</v>
      </c>
      <c r="E145" s="114" t="s">
        <v>996</v>
      </c>
      <c r="F145" s="114"/>
      <c r="G145" s="114"/>
      <c r="H145" s="114"/>
      <c r="I145" s="114"/>
      <c r="J145" s="114"/>
      <c r="K145" s="114"/>
      <c r="L145" s="114"/>
      <c r="M145" s="114"/>
    </row>
    <row r="146" spans="1:13">
      <c r="A146" s="114" t="str">
        <f>IF('Register Configuration'!G31 &gt; 1, "memory set", "#memory set")</f>
        <v>memory set</v>
      </c>
      <c r="B146" s="114" t="s">
        <v>973</v>
      </c>
      <c r="C146" s="302">
        <v>32</v>
      </c>
      <c r="D146" s="470" t="str">
        <f>'Register Configuration'!I507</f>
        <v>0x0505030A</v>
      </c>
      <c r="E146" s="114" t="s">
        <v>997</v>
      </c>
      <c r="F146" s="114"/>
      <c r="G146" s="114"/>
      <c r="H146" s="114"/>
      <c r="I146" s="114"/>
      <c r="J146" s="114"/>
      <c r="K146" s="114"/>
      <c r="L146" s="114"/>
      <c r="M146" s="114"/>
    </row>
    <row r="147" spans="1:13">
      <c r="A147" s="114" t="str">
        <f>IF('Register Configuration'!G31 &gt; 1, "memory set", "#memory set")</f>
        <v>memory set</v>
      </c>
      <c r="B147" s="114" t="s">
        <v>974</v>
      </c>
      <c r="C147" s="302">
        <v>32</v>
      </c>
      <c r="D147" s="470" t="str">
        <f>'Register Configuration'!I512</f>
        <v>0x0000400C</v>
      </c>
      <c r="E147" s="114" t="s">
        <v>998</v>
      </c>
      <c r="F147" s="114"/>
      <c r="G147" s="114"/>
      <c r="H147" s="114"/>
      <c r="I147" s="114"/>
      <c r="J147" s="114"/>
      <c r="K147" s="114"/>
      <c r="L147" s="114"/>
      <c r="M147" s="114"/>
    </row>
    <row r="148" spans="1:13">
      <c r="A148" s="114" t="str">
        <f>IF('Register Configuration'!G31 &gt; 1, "memory set", "#memory set")</f>
        <v>memory set</v>
      </c>
      <c r="B148" s="114" t="s">
        <v>975</v>
      </c>
      <c r="C148" s="302">
        <v>32</v>
      </c>
      <c r="D148" s="470" t="str">
        <f>'Register Configuration'!I516</f>
        <v>0x05030306</v>
      </c>
      <c r="E148" s="114" t="s">
        <v>999</v>
      </c>
      <c r="F148" s="114"/>
      <c r="G148" s="114"/>
      <c r="H148" s="114"/>
      <c r="I148" s="114"/>
      <c r="J148" s="114"/>
      <c r="K148" s="114"/>
      <c r="L148" s="114"/>
      <c r="M148" s="114"/>
    </row>
    <row r="149" spans="1:13">
      <c r="A149" s="114" t="str">
        <f>IF('Register Configuration'!G31 &gt; 1, "memory set", "#memory set")</f>
        <v>memory set</v>
      </c>
      <c r="B149" s="114" t="s">
        <v>976</v>
      </c>
      <c r="C149" s="302">
        <v>32</v>
      </c>
      <c r="D149" s="470" t="str">
        <f>'Register Configuration'!I521</f>
        <v>0x04040302</v>
      </c>
      <c r="E149" s="114" t="s">
        <v>1000</v>
      </c>
      <c r="F149" s="114"/>
      <c r="G149" s="114"/>
      <c r="H149" s="114"/>
      <c r="I149" s="114"/>
      <c r="J149" s="114"/>
      <c r="K149" s="114"/>
      <c r="L149" s="114"/>
      <c r="M149" s="114"/>
    </row>
    <row r="150" spans="1:13">
      <c r="A150" s="114" t="str">
        <f>IF('Register Configuration'!G31 &gt; 1, "memory set", "#memory set")</f>
        <v>memory set</v>
      </c>
      <c r="B150" s="114" t="s">
        <v>977</v>
      </c>
      <c r="C150" s="302">
        <v>32</v>
      </c>
      <c r="D150" s="470" t="str">
        <f>'Register Configuration'!I526</f>
        <v>0x00000404</v>
      </c>
      <c r="E150" s="114" t="s">
        <v>1001</v>
      </c>
      <c r="F150" s="114"/>
      <c r="G150" s="114"/>
      <c r="H150" s="114"/>
      <c r="I150" s="114"/>
      <c r="J150" s="114"/>
      <c r="K150" s="114"/>
      <c r="L150" s="114"/>
      <c r="M150" s="114"/>
    </row>
    <row r="151" spans="1:13">
      <c r="A151" s="114" t="str">
        <f>IF('Register Configuration'!G31 &gt; 1, "memory set", "#memory set")</f>
        <v>memory set</v>
      </c>
      <c r="B151" s="114" t="s">
        <v>978</v>
      </c>
      <c r="C151" s="302">
        <v>32</v>
      </c>
      <c r="D151" s="470" t="str">
        <f>'Register Configuration'!I529</f>
        <v>0x03030D05</v>
      </c>
      <c r="E151" s="114" t="s">
        <v>1002</v>
      </c>
      <c r="F151" s="114"/>
      <c r="G151" s="114"/>
      <c r="H151" s="114"/>
      <c r="I151" s="114"/>
      <c r="J151" s="114"/>
      <c r="K151" s="114"/>
      <c r="L151" s="114"/>
      <c r="M151" s="114"/>
    </row>
    <row r="152" spans="1:13">
      <c r="A152" s="114" t="str">
        <f>IF('Register Configuration'!G31 &gt; 1, "memory set", "#memory set")</f>
        <v>memory set</v>
      </c>
      <c r="B152" s="114" t="s">
        <v>979</v>
      </c>
      <c r="C152" s="302">
        <v>32</v>
      </c>
      <c r="D152" s="470" t="str">
        <f>'Register Configuration'!I534</f>
        <v>0x00020208</v>
      </c>
      <c r="E152" s="114" t="s">
        <v>1003</v>
      </c>
      <c r="F152" s="114"/>
      <c r="G152" s="114"/>
      <c r="H152" s="114"/>
      <c r="I152" s="114"/>
      <c r="J152" s="114"/>
      <c r="K152" s="114"/>
      <c r="L152" s="114"/>
      <c r="M152" s="114"/>
    </row>
    <row r="153" spans="1:13">
      <c r="A153" s="114" t="str">
        <f>IF('Register Configuration'!G31 &gt; 1, "memory set", "#memory set")</f>
        <v>memory set</v>
      </c>
      <c r="B153" s="114" t="s">
        <v>980</v>
      </c>
      <c r="C153" s="302">
        <v>32</v>
      </c>
      <c r="D153" s="470" t="str">
        <f>'Register Configuration'!I539</f>
        <v>0x1106010E</v>
      </c>
      <c r="E153" s="114" t="s">
        <v>1004</v>
      </c>
      <c r="F153" s="114"/>
      <c r="G153" s="114"/>
      <c r="H153" s="114"/>
      <c r="I153" s="114"/>
      <c r="J153" s="114"/>
      <c r="K153" s="114"/>
      <c r="L153" s="114"/>
      <c r="M153" s="114"/>
    </row>
    <row r="154" spans="1:13">
      <c r="A154" s="114" t="str">
        <f>IF('Register Configuration'!G31 &gt; 1, "memory set", "#memory set")</f>
        <v>memory set</v>
      </c>
      <c r="B154" s="114" t="s">
        <v>981</v>
      </c>
      <c r="C154" s="302">
        <v>32</v>
      </c>
      <c r="D154" s="470" t="str">
        <f>'Register Configuration'!I544</f>
        <v>0x00000008</v>
      </c>
      <c r="E154" s="114" t="s">
        <v>1005</v>
      </c>
      <c r="F154" s="114"/>
      <c r="G154" s="114"/>
      <c r="H154" s="114"/>
      <c r="I154" s="114"/>
      <c r="J154" s="114"/>
      <c r="K154" s="114"/>
      <c r="L154" s="114"/>
      <c r="M154" s="114"/>
    </row>
    <row r="155" spans="1:13">
      <c r="A155" s="114" t="str">
        <f>IF('Register Configuration'!G31 &gt; 1, "memory set", "#memory set")</f>
        <v>memory set</v>
      </c>
      <c r="B155" s="114" t="s">
        <v>982</v>
      </c>
      <c r="C155" s="302">
        <v>32</v>
      </c>
      <c r="D155" s="470" t="str">
        <f>'Register Configuration'!I547</f>
        <v>0x00000000</v>
      </c>
      <c r="E155" s="114" t="s">
        <v>1006</v>
      </c>
      <c r="F155" s="114"/>
      <c r="G155" s="114"/>
      <c r="H155" s="114"/>
      <c r="I155" s="114"/>
      <c r="J155" s="114"/>
      <c r="K155" s="114"/>
      <c r="L155" s="114"/>
      <c r="M155" s="114"/>
    </row>
    <row r="156" spans="1:13">
      <c r="A156" s="114" t="str">
        <f>IF('Register Configuration'!G31 &gt; 1, "memory set", "#memory set")</f>
        <v>memory set</v>
      </c>
      <c r="B156" s="114" t="s">
        <v>983</v>
      </c>
      <c r="C156" s="302">
        <v>32</v>
      </c>
      <c r="D156" s="470" t="str">
        <f>'Register Configuration'!I558</f>
        <v>0x01000040</v>
      </c>
      <c r="E156" s="114" t="s">
        <v>1007</v>
      </c>
      <c r="F156" s="114"/>
      <c r="G156" s="114"/>
      <c r="H156" s="114"/>
      <c r="I156" s="114"/>
      <c r="J156" s="114"/>
      <c r="K156" s="114"/>
      <c r="L156" s="114"/>
      <c r="M156" s="114"/>
    </row>
    <row r="157" spans="1:13">
      <c r="A157" s="114" t="str">
        <f>IF('Register Configuration'!G31 &gt; 1, "memory set", "#memory set")</f>
        <v>memory set</v>
      </c>
      <c r="B157" s="114" t="s">
        <v>984</v>
      </c>
      <c r="C157" s="302">
        <v>32</v>
      </c>
      <c r="D157" s="470" t="str">
        <f>'Register Configuration'!I565</f>
        <v>0x03858204</v>
      </c>
      <c r="E157" s="114" t="s">
        <v>1008</v>
      </c>
      <c r="F157" s="114"/>
      <c r="G157" s="114"/>
      <c r="H157" s="114"/>
      <c r="I157" s="114"/>
      <c r="J157" s="114"/>
      <c r="K157" s="114"/>
      <c r="L157" s="114"/>
      <c r="M157" s="114"/>
    </row>
    <row r="158" spans="1:13">
      <c r="A158" s="114" t="str">
        <f>IF('Register Configuration'!G31 &gt; 1, "memory set", "#memory set")</f>
        <v>memory set</v>
      </c>
      <c r="B158" s="114" t="s">
        <v>985</v>
      </c>
      <c r="C158" s="302">
        <v>32</v>
      </c>
      <c r="D158" s="470" t="str">
        <f>'Register Configuration'!I572</f>
        <v>0x02020303</v>
      </c>
      <c r="E158" s="114" t="s">
        <v>1009</v>
      </c>
      <c r="F158" s="114"/>
      <c r="G158" s="114"/>
      <c r="H158" s="114"/>
      <c r="I158" s="114"/>
      <c r="J158" s="114"/>
      <c r="K158" s="114"/>
      <c r="L158" s="114"/>
      <c r="M158" s="114"/>
    </row>
    <row r="159" spans="1:13">
      <c r="A159" s="114" t="str">
        <f>IF('Register Configuration'!G31 &gt; 1, "memory set", "#memory set")</f>
        <v>memory set</v>
      </c>
      <c r="B159" s="114" t="s">
        <v>986</v>
      </c>
      <c r="C159" s="302">
        <v>32</v>
      </c>
      <c r="D159" s="470" t="str">
        <f>'Register Configuration'!I578</f>
        <v>0x00000504</v>
      </c>
      <c r="E159" s="114" t="s">
        <v>1010</v>
      </c>
      <c r="F159" s="114"/>
      <c r="G159" s="114"/>
      <c r="H159" s="114"/>
      <c r="I159" s="114"/>
      <c r="J159" s="114"/>
      <c r="K159" s="114"/>
      <c r="L159" s="114"/>
      <c r="M159" s="114"/>
    </row>
    <row r="160" spans="1:13">
      <c r="A160" s="114" t="str">
        <f>IF('Register Configuration'!G31 &gt; 1, "memory set", "#memory set")</f>
        <v>memory set</v>
      </c>
      <c r="B160" s="114" t="s">
        <v>987</v>
      </c>
      <c r="C160" s="302">
        <v>32</v>
      </c>
      <c r="D160" s="470" t="str">
        <f>'Register Configuration'!I581</f>
        <v>0x00000004</v>
      </c>
      <c r="E160" s="114" t="s">
        <v>1011</v>
      </c>
      <c r="F160" s="114"/>
      <c r="G160" s="114"/>
      <c r="H160" s="114"/>
      <c r="I160" s="114"/>
      <c r="J160" s="114"/>
      <c r="K160" s="114"/>
      <c r="L160" s="114"/>
      <c r="M160" s="114"/>
    </row>
    <row r="161" spans="1:13">
      <c r="A161" s="114" t="str">
        <f>IF('Register Configuration'!G31 &gt; 1, "memory set", "#memory set")</f>
        <v>memory set</v>
      </c>
      <c r="B161" s="114" t="s">
        <v>988</v>
      </c>
      <c r="C161" s="302">
        <v>32</v>
      </c>
      <c r="D161" s="470" t="str">
        <f>'Register Configuration'!I583</f>
        <v>0x06000604</v>
      </c>
      <c r="E161" s="114" t="s">
        <v>1012</v>
      </c>
      <c r="F161" s="114"/>
      <c r="G161" s="114"/>
      <c r="H161" s="114"/>
      <c r="I161" s="114"/>
      <c r="J161" s="114"/>
      <c r="K161" s="114"/>
      <c r="L161" s="114"/>
      <c r="M161" s="114"/>
    </row>
    <row r="162" spans="1:13">
      <c r="A162" s="114" t="str">
        <f>IF('Register Configuration'!G31 &gt; 1, "memory set", "#memory set")</f>
        <v>memory set</v>
      </c>
      <c r="B162" s="114" t="s">
        <v>1235</v>
      </c>
      <c r="C162" s="302">
        <v>32</v>
      </c>
      <c r="D162" s="470" t="str">
        <f>'Register Configuration'!I652</f>
        <v>0x00000EC7</v>
      </c>
      <c r="E162" s="114" t="s">
        <v>1236</v>
      </c>
      <c r="F162" s="114"/>
      <c r="G162" s="114"/>
      <c r="H162" s="114"/>
      <c r="I162" s="114"/>
      <c r="J162" s="114"/>
      <c r="K162" s="114"/>
      <c r="L162" s="114"/>
      <c r="M162" s="114"/>
    </row>
    <row r="163" spans="1:13">
      <c r="D163" s="648"/>
      <c r="E163" s="114"/>
      <c r="F163" s="114"/>
      <c r="G163" s="114"/>
      <c r="H163" s="114"/>
      <c r="I163" s="114"/>
      <c r="J163" s="114"/>
      <c r="K163" s="114"/>
      <c r="L163" s="114"/>
      <c r="M163" s="114"/>
    </row>
    <row r="164" spans="1:13">
      <c r="A164" s="649" t="s">
        <v>415</v>
      </c>
      <c r="B164" s="649" t="s">
        <v>1411</v>
      </c>
      <c r="C164" s="649">
        <v>32</v>
      </c>
      <c r="D164" s="649" t="s">
        <v>701</v>
      </c>
      <c r="E164" s="649" t="s">
        <v>1409</v>
      </c>
      <c r="F164" s="114"/>
      <c r="G164" s="114"/>
      <c r="H164" s="114"/>
      <c r="I164" s="114"/>
      <c r="J164" s="114"/>
      <c r="K164" s="114"/>
      <c r="L164" s="114"/>
      <c r="M164" s="114"/>
    </row>
    <row r="165" spans="1:13">
      <c r="D165" s="471"/>
      <c r="E165" s="114"/>
      <c r="F165" s="114"/>
      <c r="G165" s="114"/>
      <c r="H165" s="114"/>
      <c r="I165" s="114"/>
      <c r="J165" s="114"/>
      <c r="K165" s="114"/>
      <c r="L165" s="114"/>
      <c r="M165" s="114"/>
    </row>
    <row r="166" spans="1:13">
      <c r="A166" s="114" t="s">
        <v>853</v>
      </c>
      <c r="E166" s="114"/>
      <c r="F166" s="114"/>
      <c r="G166" s="114"/>
      <c r="H166" s="114"/>
      <c r="I166" s="114"/>
      <c r="J166" s="114"/>
      <c r="K166" s="114"/>
      <c r="L166" s="114"/>
      <c r="M166" s="114"/>
    </row>
    <row r="167" spans="1:13">
      <c r="A167" s="114" t="s">
        <v>415</v>
      </c>
      <c r="B167" s="114" t="s">
        <v>430</v>
      </c>
      <c r="C167" s="302">
        <v>32</v>
      </c>
      <c r="D167" s="469" t="s">
        <v>1195</v>
      </c>
      <c r="E167" s="114" t="s">
        <v>857</v>
      </c>
      <c r="F167" s="114"/>
      <c r="G167" s="114"/>
      <c r="H167" s="114"/>
      <c r="I167" s="114"/>
      <c r="J167" s="114"/>
      <c r="K167" s="114"/>
      <c r="L167" s="114"/>
      <c r="M167" s="114"/>
    </row>
    <row r="168" spans="1:13">
      <c r="A168" s="114" t="s">
        <v>415</v>
      </c>
      <c r="B168" s="114" t="s">
        <v>430</v>
      </c>
      <c r="C168" s="302">
        <v>32</v>
      </c>
      <c r="D168" s="469" t="s">
        <v>856</v>
      </c>
      <c r="E168" s="114" t="s">
        <v>857</v>
      </c>
      <c r="F168" s="114"/>
      <c r="G168" s="114"/>
      <c r="H168" s="114"/>
      <c r="I168" s="114"/>
      <c r="J168" s="114"/>
      <c r="K168" s="114"/>
      <c r="L168" s="114"/>
      <c r="M168" s="114"/>
    </row>
    <row r="169" spans="1:13">
      <c r="A169" s="114" t="s">
        <v>415</v>
      </c>
      <c r="B169" s="114" t="s">
        <v>436</v>
      </c>
      <c r="C169" s="302">
        <v>32</v>
      </c>
      <c r="D169" s="469" t="s">
        <v>701</v>
      </c>
      <c r="E169" s="114" t="s">
        <v>835</v>
      </c>
      <c r="F169" s="114"/>
      <c r="G169" s="114"/>
      <c r="H169" s="114"/>
      <c r="I169" s="114"/>
      <c r="J169" s="114"/>
      <c r="K169" s="114"/>
      <c r="L169" s="114"/>
      <c r="M169" s="114"/>
    </row>
    <row r="170" spans="1:13">
      <c r="A170" s="114" t="s">
        <v>415</v>
      </c>
      <c r="B170" s="114" t="s">
        <v>438</v>
      </c>
      <c r="C170" s="302">
        <v>32</v>
      </c>
      <c r="D170" s="470" t="str">
        <f>'Register Configuration'!I477</f>
        <v>0x000000AA</v>
      </c>
      <c r="E170" s="114" t="s">
        <v>450</v>
      </c>
      <c r="F170" s="114"/>
      <c r="G170" s="114"/>
      <c r="H170" s="114"/>
      <c r="I170" s="114"/>
      <c r="J170" s="114"/>
      <c r="K170" s="114"/>
      <c r="L170" s="114"/>
      <c r="M170" s="114"/>
    </row>
    <row r="171" spans="1:13">
      <c r="A171" s="114" t="s">
        <v>415</v>
      </c>
      <c r="B171" s="114" t="s">
        <v>854</v>
      </c>
      <c r="C171" s="302">
        <v>32</v>
      </c>
      <c r="D171" s="469" t="s">
        <v>701</v>
      </c>
      <c r="E171" s="114" t="s">
        <v>858</v>
      </c>
      <c r="F171" s="114"/>
      <c r="G171" s="114"/>
      <c r="H171" s="114"/>
      <c r="I171" s="114"/>
      <c r="J171" s="114"/>
      <c r="K171" s="114"/>
      <c r="L171" s="114"/>
      <c r="M171" s="114"/>
    </row>
    <row r="172" spans="1:13">
      <c r="A172" s="114" t="s">
        <v>415</v>
      </c>
      <c r="B172" s="114" t="s">
        <v>855</v>
      </c>
      <c r="C172" s="302">
        <v>32</v>
      </c>
      <c r="D172" s="469" t="s">
        <v>701</v>
      </c>
      <c r="E172" s="114" t="s">
        <v>859</v>
      </c>
      <c r="F172" s="114"/>
      <c r="G172" s="114"/>
      <c r="H172" s="114"/>
      <c r="I172" s="114"/>
      <c r="J172" s="114"/>
      <c r="K172" s="114"/>
      <c r="L172" s="114"/>
      <c r="M172" s="114"/>
    </row>
    <row r="173" spans="1:13">
      <c r="E173" s="114"/>
      <c r="F173" s="114"/>
      <c r="G173" s="114"/>
      <c r="H173" s="114"/>
      <c r="I173" s="114"/>
      <c r="J173" s="114"/>
      <c r="K173" s="114"/>
      <c r="L173" s="114"/>
      <c r="M173" s="114"/>
    </row>
    <row r="174" spans="1:13">
      <c r="A174" s="114" t="s">
        <v>860</v>
      </c>
      <c r="E174" s="114"/>
      <c r="F174" s="114"/>
      <c r="G174" s="114"/>
      <c r="H174" s="114"/>
      <c r="I174" s="114"/>
      <c r="J174" s="114"/>
      <c r="K174" s="114"/>
      <c r="L174" s="114"/>
      <c r="M174" s="114"/>
    </row>
    <row r="175" spans="1:13">
      <c r="A175" s="114" t="s">
        <v>861</v>
      </c>
      <c r="E175" s="114"/>
      <c r="F175" s="114"/>
      <c r="G175" s="114"/>
      <c r="H175" s="114"/>
      <c r="I175" s="114"/>
      <c r="J175" s="114"/>
      <c r="K175" s="114"/>
      <c r="L175" s="114"/>
      <c r="M175" s="114"/>
    </row>
    <row r="176" spans="1:13">
      <c r="A176" s="114" t="s">
        <v>860</v>
      </c>
      <c r="E176" s="114"/>
      <c r="F176" s="114"/>
      <c r="G176" s="114"/>
      <c r="H176" s="114"/>
      <c r="I176" s="114"/>
      <c r="J176" s="114"/>
      <c r="K176" s="114"/>
      <c r="L176" s="114"/>
      <c r="M176" s="114"/>
    </row>
    <row r="177" spans="1:13">
      <c r="E177" s="114"/>
      <c r="F177" s="114"/>
      <c r="G177" s="114"/>
      <c r="H177" s="114"/>
      <c r="I177" s="114"/>
      <c r="J177" s="114"/>
      <c r="K177" s="114"/>
      <c r="L177" s="114"/>
      <c r="M177" s="114"/>
    </row>
    <row r="178" spans="1:13">
      <c r="A178" s="114" t="s">
        <v>1013</v>
      </c>
      <c r="B178" s="301" t="s">
        <v>1014</v>
      </c>
      <c r="D178" s="402">
        <v>0</v>
      </c>
      <c r="E178" s="114" t="s">
        <v>1019</v>
      </c>
      <c r="F178" s="114"/>
      <c r="G178" s="114"/>
      <c r="H178" s="114"/>
      <c r="I178" s="114"/>
      <c r="J178" s="114"/>
      <c r="K178" s="114"/>
      <c r="L178" s="114"/>
      <c r="M178" s="114"/>
    </row>
    <row r="179" spans="1:13">
      <c r="B179" s="401"/>
      <c r="D179" s="402"/>
      <c r="E179" s="114"/>
      <c r="F179" s="114"/>
      <c r="G179" s="114"/>
      <c r="H179" s="114"/>
      <c r="I179" s="114"/>
      <c r="J179" s="114"/>
      <c r="K179" s="114"/>
      <c r="L179" s="114"/>
      <c r="M179" s="114"/>
    </row>
    <row r="180" spans="1:13">
      <c r="A180" s="114" t="s">
        <v>1013</v>
      </c>
      <c r="B180" s="401" t="s">
        <v>1017</v>
      </c>
      <c r="D180" s="404">
        <f>'Register Configuration'!G31</f>
        <v>2</v>
      </c>
      <c r="E180" s="114" t="s">
        <v>1020</v>
      </c>
      <c r="F180" s="114"/>
      <c r="G180" s="114"/>
      <c r="H180" s="114"/>
      <c r="I180" s="114"/>
      <c r="J180" s="114"/>
      <c r="K180" s="114"/>
      <c r="L180" s="114"/>
      <c r="M180" s="114"/>
    </row>
    <row r="181" spans="1:13">
      <c r="B181" s="401"/>
      <c r="D181" s="402"/>
      <c r="E181" s="114"/>
      <c r="F181" s="114"/>
      <c r="G181" s="114"/>
      <c r="H181" s="114"/>
      <c r="I181" s="114"/>
      <c r="J181" s="114"/>
      <c r="K181" s="114"/>
      <c r="L181" s="114"/>
      <c r="M181" s="114"/>
    </row>
    <row r="182" spans="1:13">
      <c r="A182" s="114" t="s">
        <v>1013</v>
      </c>
      <c r="B182" s="401" t="s">
        <v>1018</v>
      </c>
      <c r="D182" s="404">
        <f>IF('Register Configuration'!G33="ENABLED", 1, 0)</f>
        <v>1</v>
      </c>
      <c r="E182" s="114" t="s">
        <v>1021</v>
      </c>
      <c r="F182" s="114"/>
      <c r="G182" s="114"/>
      <c r="H182" s="114"/>
      <c r="I182" s="114"/>
      <c r="J182" s="114"/>
      <c r="K182" s="114"/>
      <c r="L182" s="114"/>
      <c r="M182" s="114"/>
    </row>
    <row r="183" spans="1:13">
      <c r="B183" s="401"/>
      <c r="D183" s="402"/>
      <c r="E183" s="114"/>
      <c r="F183" s="114"/>
      <c r="G183" s="114"/>
      <c r="H183" s="114"/>
      <c r="I183" s="114"/>
      <c r="J183" s="114"/>
      <c r="K183" s="114"/>
      <c r="L183" s="114"/>
      <c r="M183" s="114"/>
    </row>
    <row r="184" spans="1:13">
      <c r="A184" s="114" t="s">
        <v>1013</v>
      </c>
      <c r="B184" s="301" t="s">
        <v>1015</v>
      </c>
      <c r="D184" s="404">
        <f>'Register Configuration'!C693</f>
        <v>32</v>
      </c>
      <c r="E184" s="114" t="s">
        <v>1022</v>
      </c>
      <c r="F184" s="114"/>
      <c r="G184" s="114"/>
      <c r="H184" s="114"/>
      <c r="I184" s="114"/>
      <c r="J184" s="114"/>
      <c r="K184" s="114"/>
      <c r="L184" s="114"/>
      <c r="M184" s="114"/>
    </row>
    <row r="185" spans="1:13">
      <c r="B185" s="401"/>
      <c r="E185" s="114"/>
      <c r="F185" s="114"/>
      <c r="G185" s="114"/>
      <c r="H185" s="114"/>
      <c r="I185" s="114"/>
      <c r="J185" s="114"/>
      <c r="K185" s="114"/>
      <c r="L185" s="114"/>
      <c r="M185" s="114"/>
    </row>
    <row r="186" spans="1:13">
      <c r="A186" s="114" t="s">
        <v>1013</v>
      </c>
      <c r="B186" s="301" t="s">
        <v>1016</v>
      </c>
      <c r="D186" s="470" t="str">
        <f>'Register Configuration'!C689</f>
        <v>0x5B</v>
      </c>
      <c r="E186" s="114"/>
      <c r="F186" s="114"/>
      <c r="G186" s="114"/>
      <c r="H186" s="114"/>
      <c r="I186" s="114"/>
      <c r="J186" s="114"/>
      <c r="K186" s="114"/>
      <c r="L186" s="114"/>
      <c r="M186" s="114"/>
    </row>
    <row r="187" spans="1:13">
      <c r="E187" s="114"/>
      <c r="F187" s="114"/>
      <c r="G187" s="114"/>
      <c r="H187" s="114"/>
      <c r="I187" s="114"/>
      <c r="J187" s="114"/>
      <c r="K187" s="114"/>
      <c r="L187" s="114"/>
      <c r="M187" s="114"/>
    </row>
    <row r="188" spans="1:13">
      <c r="A188" s="114" t="s">
        <v>1023</v>
      </c>
      <c r="E188" s="114"/>
      <c r="F188" s="114"/>
      <c r="G188" s="114"/>
      <c r="H188" s="114"/>
      <c r="I188" s="114"/>
      <c r="J188" s="114"/>
      <c r="K188" s="114"/>
      <c r="L188" s="114"/>
      <c r="M188" s="114"/>
    </row>
    <row r="189" spans="1:13">
      <c r="A189" s="114" t="s">
        <v>1013</v>
      </c>
      <c r="B189" s="114" t="s">
        <v>1027</v>
      </c>
      <c r="D189" s="404">
        <f>'Register Configuration'!C32</f>
        <v>1600</v>
      </c>
      <c r="E189" s="114"/>
      <c r="F189" s="114"/>
      <c r="G189" s="114"/>
      <c r="H189" s="114"/>
      <c r="I189" s="114"/>
      <c r="J189" s="114"/>
      <c r="K189" s="114"/>
      <c r="L189" s="114"/>
      <c r="M189" s="114"/>
    </row>
    <row r="190" spans="1:13">
      <c r="A190" s="114" t="s">
        <v>1013</v>
      </c>
      <c r="B190" s="114" t="s">
        <v>1028</v>
      </c>
      <c r="D190" s="402">
        <v>0</v>
      </c>
      <c r="E190" s="114"/>
      <c r="F190" s="114"/>
      <c r="G190" s="114"/>
      <c r="H190" s="114"/>
      <c r="I190" s="114"/>
      <c r="J190" s="114"/>
      <c r="K190" s="114"/>
      <c r="L190" s="114"/>
      <c r="M190" s="114"/>
    </row>
    <row r="191" spans="1:13">
      <c r="A191" s="490" t="s">
        <v>1215</v>
      </c>
      <c r="B191" s="114" t="s">
        <v>416</v>
      </c>
      <c r="C191" s="492">
        <v>32</v>
      </c>
      <c r="D191" s="402" t="s">
        <v>417</v>
      </c>
      <c r="E191" s="114" t="s">
        <v>418</v>
      </c>
      <c r="F191" s="114"/>
      <c r="G191" s="114"/>
      <c r="H191" s="114"/>
      <c r="I191" s="114"/>
      <c r="J191" s="114"/>
      <c r="K191" s="114"/>
      <c r="L191" s="114"/>
      <c r="M191" s="114"/>
    </row>
    <row r="192" spans="1:13">
      <c r="A192" s="490" t="s">
        <v>1215</v>
      </c>
      <c r="B192" s="114" t="s">
        <v>419</v>
      </c>
      <c r="C192" s="492">
        <v>32</v>
      </c>
      <c r="D192" s="402" t="s">
        <v>420</v>
      </c>
      <c r="E192" s="114" t="s">
        <v>421</v>
      </c>
      <c r="F192" s="114"/>
      <c r="G192" s="114"/>
      <c r="H192" s="114"/>
      <c r="I192" s="114"/>
      <c r="J192" s="114"/>
      <c r="K192" s="114"/>
      <c r="L192" s="114"/>
      <c r="M192" s="114"/>
    </row>
    <row r="193" spans="1:13">
      <c r="A193" s="490" t="s">
        <v>1215</v>
      </c>
      <c r="B193" s="114" t="s">
        <v>423</v>
      </c>
      <c r="C193" s="492">
        <v>32</v>
      </c>
      <c r="D193" s="402" t="s">
        <v>424</v>
      </c>
      <c r="E193" s="114" t="s">
        <v>1030</v>
      </c>
      <c r="F193" s="114"/>
      <c r="G193" s="114"/>
      <c r="H193" s="114"/>
      <c r="I193" s="114"/>
      <c r="J193" s="114"/>
      <c r="K193" s="114"/>
      <c r="L193" s="114"/>
      <c r="M193" s="114"/>
    </row>
    <row r="194" spans="1:13">
      <c r="A194" s="490" t="s">
        <v>1249</v>
      </c>
      <c r="B194" s="114" t="s">
        <v>1207</v>
      </c>
      <c r="C194" s="492">
        <v>32</v>
      </c>
      <c r="D194" s="402" t="s">
        <v>1250</v>
      </c>
      <c r="E194" s="114" t="s">
        <v>1251</v>
      </c>
      <c r="F194" s="114"/>
      <c r="G194" s="114"/>
      <c r="H194" s="114"/>
      <c r="I194" s="114"/>
      <c r="J194" s="114"/>
      <c r="K194" s="114"/>
      <c r="L194" s="114"/>
      <c r="M194" s="114"/>
    </row>
    <row r="195" spans="1:13">
      <c r="A195" s="114" t="s">
        <v>1248</v>
      </c>
      <c r="B195" s="114" t="s">
        <v>427</v>
      </c>
      <c r="C195" s="492">
        <v>32</v>
      </c>
      <c r="D195" s="402" t="s">
        <v>428</v>
      </c>
      <c r="E195" s="114" t="s">
        <v>429</v>
      </c>
      <c r="F195" s="114"/>
      <c r="G195" s="114"/>
      <c r="H195" s="114"/>
      <c r="I195" s="114"/>
      <c r="J195" s="114"/>
      <c r="K195" s="114"/>
      <c r="L195" s="114"/>
      <c r="M195" s="114"/>
    </row>
    <row r="196" spans="1:13">
      <c r="A196" s="490" t="s">
        <v>1215</v>
      </c>
      <c r="B196" s="491" t="s">
        <v>1203</v>
      </c>
      <c r="C196" s="492">
        <v>32</v>
      </c>
      <c r="D196" s="495" t="str">
        <f>D45</f>
        <v>0x190032</v>
      </c>
      <c r="E196" s="491" t="s">
        <v>1252</v>
      </c>
      <c r="F196" s="114"/>
      <c r="G196" s="114"/>
      <c r="H196" s="114"/>
      <c r="I196" s="114"/>
      <c r="J196" s="114"/>
      <c r="K196" s="114"/>
      <c r="L196" s="114"/>
      <c r="M196" s="114"/>
    </row>
    <row r="197" spans="1:13">
      <c r="A197" s="490" t="s">
        <v>1215</v>
      </c>
      <c r="B197" s="491" t="s">
        <v>1204</v>
      </c>
      <c r="C197" s="492">
        <v>32</v>
      </c>
      <c r="D197" s="494" t="s">
        <v>701</v>
      </c>
      <c r="E197" s="491" t="s">
        <v>1205</v>
      </c>
      <c r="F197" s="114"/>
      <c r="G197" s="114"/>
      <c r="H197" s="114"/>
      <c r="I197" s="114"/>
      <c r="J197" s="114"/>
      <c r="K197" s="114"/>
      <c r="L197" s="114"/>
      <c r="M197" s="114"/>
    </row>
    <row r="198" spans="1:13">
      <c r="A198" s="490" t="s">
        <v>1024</v>
      </c>
      <c r="B198" s="491" t="s">
        <v>1207</v>
      </c>
      <c r="C198" s="492">
        <v>32</v>
      </c>
      <c r="D198" s="494" t="s">
        <v>1208</v>
      </c>
      <c r="E198" s="491" t="s">
        <v>1209</v>
      </c>
      <c r="F198" s="114"/>
      <c r="G198" s="114"/>
      <c r="H198" s="114"/>
      <c r="I198" s="114"/>
      <c r="J198" s="114"/>
      <c r="K198" s="114"/>
      <c r="L198" s="114"/>
      <c r="M198" s="114"/>
    </row>
    <row r="199" spans="1:13">
      <c r="A199" s="490" t="s">
        <v>1025</v>
      </c>
      <c r="B199" s="491" t="s">
        <v>1207</v>
      </c>
      <c r="C199" s="492">
        <v>32</v>
      </c>
      <c r="D199" s="494" t="s">
        <v>1211</v>
      </c>
      <c r="E199" s="491" t="s">
        <v>1212</v>
      </c>
      <c r="F199" s="114"/>
      <c r="G199" s="114"/>
      <c r="H199" s="114"/>
      <c r="I199" s="114"/>
      <c r="J199" s="114"/>
      <c r="K199" s="114"/>
      <c r="L199" s="114"/>
      <c r="M199" s="114"/>
    </row>
    <row r="200" spans="1:13">
      <c r="A200" s="490" t="s">
        <v>1026</v>
      </c>
      <c r="B200" s="491" t="s">
        <v>1207</v>
      </c>
      <c r="C200" s="492">
        <v>32</v>
      </c>
      <c r="D200" s="494" t="s">
        <v>434</v>
      </c>
      <c r="E200" s="491" t="s">
        <v>1213</v>
      </c>
      <c r="F200" s="114"/>
      <c r="G200" s="114"/>
      <c r="H200" s="114"/>
      <c r="I200" s="114"/>
      <c r="J200" s="114"/>
      <c r="K200" s="114"/>
      <c r="L200" s="114"/>
      <c r="M200" s="114"/>
    </row>
    <row r="201" spans="1:13">
      <c r="A201" s="114" t="s">
        <v>1216</v>
      </c>
      <c r="B201" s="114" t="s">
        <v>1217</v>
      </c>
      <c r="C201" s="302">
        <v>32</v>
      </c>
      <c r="D201" s="469" t="s">
        <v>1029</v>
      </c>
      <c r="E201" s="114" t="s">
        <v>1031</v>
      </c>
      <c r="F201" s="114"/>
      <c r="G201" s="114"/>
      <c r="H201" s="114"/>
      <c r="I201" s="114"/>
      <c r="J201" s="114"/>
      <c r="K201" s="114"/>
      <c r="L201" s="114"/>
      <c r="M201" s="114"/>
    </row>
    <row r="202" spans="1:13">
      <c r="E202" s="114"/>
      <c r="F202" s="114"/>
      <c r="G202" s="114"/>
      <c r="H202" s="114"/>
      <c r="I202" s="114"/>
      <c r="J202" s="114"/>
      <c r="K202" s="114"/>
      <c r="L202" s="114"/>
      <c r="M202" s="114"/>
    </row>
    <row r="203" spans="1:13">
      <c r="A203" s="114" t="s">
        <v>1032</v>
      </c>
      <c r="E203" s="114"/>
      <c r="F203" s="114"/>
      <c r="G203" s="114"/>
      <c r="H203" s="114"/>
      <c r="I203" s="114"/>
      <c r="J203" s="114"/>
      <c r="K203" s="114"/>
      <c r="L203" s="114"/>
      <c r="M203" s="114"/>
    </row>
    <row r="204" spans="1:13">
      <c r="A204" s="114" t="str">
        <f>IF('Register Configuration'!G31&gt;1, "", "#") &amp;"ddrparam set"</f>
        <v>ddrparam set</v>
      </c>
      <c r="B204" s="114" t="s">
        <v>1239</v>
      </c>
      <c r="D204" s="404">
        <f>'Register Configuration'!C34</f>
        <v>668</v>
      </c>
      <c r="E204" s="114"/>
      <c r="F204" s="114"/>
      <c r="G204" s="114"/>
      <c r="H204" s="114"/>
      <c r="I204" s="114"/>
      <c r="J204" s="114"/>
      <c r="K204" s="114"/>
      <c r="L204" s="114"/>
      <c r="M204" s="114"/>
    </row>
    <row r="205" spans="1:13">
      <c r="A205" s="114" t="str">
        <f>IF('Register Configuration'!G31&gt;1, "", "#") &amp;"ddrparam set"</f>
        <v>ddrparam set</v>
      </c>
      <c r="B205" s="114" t="s">
        <v>1240</v>
      </c>
      <c r="D205" s="402">
        <v>0</v>
      </c>
      <c r="E205" s="114"/>
      <c r="F205" s="114"/>
      <c r="G205" s="114"/>
      <c r="H205" s="114"/>
      <c r="I205" s="114"/>
      <c r="J205" s="114"/>
      <c r="K205" s="114"/>
      <c r="L205" s="114"/>
      <c r="M205" s="114"/>
    </row>
    <row r="206" spans="1:13">
      <c r="A206" s="490" t="str">
        <f>IF('Register Configuration'!G31&gt;1, "", "#")  &amp;"freq1 set"</f>
        <v>freq1 set</v>
      </c>
      <c r="B206" s="114" t="s">
        <v>416</v>
      </c>
      <c r="C206" s="492">
        <v>32</v>
      </c>
      <c r="D206" s="402" t="s">
        <v>417</v>
      </c>
      <c r="E206" s="114" t="s">
        <v>418</v>
      </c>
      <c r="F206" s="114"/>
      <c r="G206" s="114"/>
      <c r="H206" s="114"/>
      <c r="I206" s="114"/>
      <c r="J206" s="114"/>
      <c r="K206" s="114"/>
      <c r="L206" s="114"/>
      <c r="M206" s="114"/>
    </row>
    <row r="207" spans="1:13">
      <c r="A207" s="490" t="str">
        <f>IF('Register Configuration'!G31&gt;1, "", "#")  &amp;"freq1 set"</f>
        <v>freq1 set</v>
      </c>
      <c r="B207" s="114" t="s">
        <v>419</v>
      </c>
      <c r="C207" s="492">
        <v>32</v>
      </c>
      <c r="D207" s="402" t="s">
        <v>420</v>
      </c>
      <c r="E207" s="114" t="s">
        <v>421</v>
      </c>
      <c r="F207" s="114"/>
      <c r="G207" s="114"/>
      <c r="H207" s="114"/>
      <c r="I207" s="114"/>
      <c r="J207" s="114"/>
      <c r="K207" s="114"/>
      <c r="L207" s="114"/>
      <c r="M207" s="114"/>
    </row>
    <row r="208" spans="1:13">
      <c r="A208" s="490" t="str">
        <f>IF('Register Configuration'!G31&gt;1, "", "#") &amp;"freq1 set"</f>
        <v>freq1 set</v>
      </c>
      <c r="B208" s="114" t="s">
        <v>423</v>
      </c>
      <c r="C208" s="492">
        <v>32</v>
      </c>
      <c r="D208" s="402" t="s">
        <v>424</v>
      </c>
      <c r="E208" s="114" t="s">
        <v>1030</v>
      </c>
      <c r="F208" s="114"/>
      <c r="G208" s="114"/>
      <c r="H208" s="114"/>
      <c r="I208" s="114"/>
      <c r="J208" s="114"/>
      <c r="K208" s="114"/>
      <c r="L208" s="114"/>
      <c r="M208" s="114"/>
    </row>
    <row r="209" spans="1:13">
      <c r="A209" s="490" t="str">
        <f>IF('Register Configuration'!G31&gt;1, "", "#") &amp;"freq1 clrbit"</f>
        <v>freq1 clrbit</v>
      </c>
      <c r="B209" s="114" t="s">
        <v>1207</v>
      </c>
      <c r="C209" s="492">
        <v>32</v>
      </c>
      <c r="D209" s="402" t="s">
        <v>1250</v>
      </c>
      <c r="E209" s="114" t="s">
        <v>1251</v>
      </c>
      <c r="F209" s="114"/>
      <c r="G209" s="114"/>
      <c r="H209" s="114"/>
      <c r="I209" s="114"/>
      <c r="J209" s="114"/>
      <c r="K209" s="114"/>
      <c r="L209" s="114"/>
      <c r="M209" s="114"/>
    </row>
    <row r="210" spans="1:13">
      <c r="A210" s="114" t="str">
        <f>IF('Register Configuration'!G31&gt;1, "", "#")  &amp;"freq1 setbit"</f>
        <v>freq1 setbit</v>
      </c>
      <c r="B210" s="114" t="s">
        <v>427</v>
      </c>
      <c r="C210" s="492">
        <v>32</v>
      </c>
      <c r="D210" s="402" t="s">
        <v>428</v>
      </c>
      <c r="E210" s="114" t="s">
        <v>429</v>
      </c>
      <c r="F210" s="114"/>
      <c r="G210" s="114"/>
      <c r="H210" s="114"/>
      <c r="I210" s="114"/>
      <c r="J210" s="114"/>
      <c r="K210" s="114"/>
      <c r="L210" s="114"/>
      <c r="M210" s="114"/>
    </row>
    <row r="211" spans="1:13">
      <c r="A211" s="490" t="str">
        <f>IF('Register Configuration'!G31&gt;1, "", "#")  &amp;"freq1 set"</f>
        <v>freq1 set</v>
      </c>
      <c r="B211" s="491" t="s">
        <v>1203</v>
      </c>
      <c r="C211" s="492">
        <v>32</v>
      </c>
      <c r="D211" s="495" t="str">
        <f>IF(D204=533,"0x10A033","0x0014E033")</f>
        <v>0x0014E033</v>
      </c>
      <c r="E211" s="491" t="s">
        <v>1241</v>
      </c>
      <c r="F211" s="114"/>
      <c r="G211" s="114"/>
      <c r="H211" s="114"/>
      <c r="I211" s="114"/>
      <c r="J211" s="114"/>
      <c r="K211" s="114"/>
      <c r="L211" s="114"/>
      <c r="M211" s="114"/>
    </row>
    <row r="212" spans="1:13">
      <c r="A212" s="490" t="str">
        <f>IF('Register Configuration'!G31&gt;1, "", "#") &amp;"freq1 set"</f>
        <v>freq1 set</v>
      </c>
      <c r="B212" s="491" t="s">
        <v>1204</v>
      </c>
      <c r="C212" s="492">
        <v>32</v>
      </c>
      <c r="D212" s="494" t="s">
        <v>701</v>
      </c>
      <c r="E212" s="491" t="s">
        <v>1205</v>
      </c>
      <c r="F212" s="114"/>
      <c r="G212" s="114"/>
      <c r="H212" s="114"/>
      <c r="I212" s="114"/>
      <c r="J212" s="114"/>
      <c r="K212" s="114"/>
      <c r="L212" s="114"/>
      <c r="M212" s="114"/>
    </row>
    <row r="213" spans="1:13">
      <c r="A213" s="490" t="str">
        <f>IF('Register Configuration'!G31&gt;1, "", "#") &amp;"freq1 setbit"</f>
        <v>freq1 setbit</v>
      </c>
      <c r="B213" s="491" t="s">
        <v>1207</v>
      </c>
      <c r="C213" s="492">
        <v>32</v>
      </c>
      <c r="D213" s="494" t="s">
        <v>1208</v>
      </c>
      <c r="E213" s="491" t="s">
        <v>1209</v>
      </c>
      <c r="F213" s="114"/>
      <c r="G213" s="114"/>
      <c r="H213" s="114"/>
      <c r="I213" s="114"/>
      <c r="J213" s="114"/>
      <c r="K213" s="114"/>
      <c r="L213" s="114"/>
      <c r="M213" s="114"/>
    </row>
    <row r="214" spans="1:13">
      <c r="A214" s="490" t="str">
        <f>IF('Register Configuration'!G31&gt;1, "", "#") &amp;"freq1 clrbit"</f>
        <v>freq1 clrbit</v>
      </c>
      <c r="B214" s="491" t="s">
        <v>1207</v>
      </c>
      <c r="C214" s="492">
        <v>32</v>
      </c>
      <c r="D214" s="494" t="s">
        <v>1211</v>
      </c>
      <c r="E214" s="491" t="s">
        <v>1212</v>
      </c>
      <c r="F214" s="114"/>
      <c r="G214" s="114"/>
      <c r="H214" s="114"/>
      <c r="I214" s="114"/>
      <c r="J214" s="114"/>
      <c r="K214" s="114"/>
      <c r="L214" s="114"/>
      <c r="M214" s="114"/>
    </row>
    <row r="215" spans="1:13">
      <c r="A215" s="490" t="str">
        <f>IF('Register Configuration'!G31&gt;1, "", "#")  &amp;"freq1 chkbit1"</f>
        <v>freq1 chkbit1</v>
      </c>
      <c r="B215" s="491" t="s">
        <v>1207</v>
      </c>
      <c r="C215" s="492">
        <v>32</v>
      </c>
      <c r="D215" s="494" t="s">
        <v>434</v>
      </c>
      <c r="E215" s="491" t="s">
        <v>1213</v>
      </c>
      <c r="F215" s="114"/>
      <c r="G215" s="114"/>
      <c r="H215" s="114"/>
      <c r="I215" s="114"/>
      <c r="J215" s="114"/>
      <c r="K215" s="114"/>
      <c r="L215" s="114"/>
      <c r="M215" s="114"/>
    </row>
    <row r="216" spans="1:13">
      <c r="A216" s="114" t="str">
        <f>IF('Register Configuration'!G31&gt;1, "", "#")  &amp; "freq1 set"</f>
        <v>freq1 set</v>
      </c>
      <c r="B216" s="114" t="s">
        <v>1217</v>
      </c>
      <c r="C216" s="302">
        <v>32</v>
      </c>
      <c r="D216" s="469" t="s">
        <v>1029</v>
      </c>
      <c r="E216" s="114" t="s">
        <v>1031</v>
      </c>
      <c r="F216" s="114"/>
      <c r="G216" s="114"/>
      <c r="H216" s="114"/>
      <c r="I216" s="114"/>
      <c r="J216" s="114"/>
      <c r="K216" s="114"/>
      <c r="L216" s="114"/>
      <c r="M216" s="114"/>
    </row>
    <row r="217" spans="1:13">
      <c r="E217" s="114"/>
      <c r="F217" s="114"/>
      <c r="G217" s="114"/>
      <c r="H217" s="114"/>
      <c r="I217" s="114"/>
      <c r="J217" s="114"/>
      <c r="K217" s="114"/>
      <c r="L217" s="114"/>
      <c r="M217" s="114"/>
    </row>
    <row r="218" spans="1:13">
      <c r="A218" s="114" t="s">
        <v>1013</v>
      </c>
      <c r="B218" s="114" t="s">
        <v>1033</v>
      </c>
      <c r="D218" s="470" t="str">
        <f>'Register Configuration'!C691</f>
        <v>0x1</v>
      </c>
      <c r="E218" s="114" t="s">
        <v>1041</v>
      </c>
      <c r="F218" s="114"/>
      <c r="G218" s="114"/>
      <c r="H218" s="114"/>
      <c r="I218" s="114"/>
      <c r="J218" s="114"/>
      <c r="K218" s="114"/>
      <c r="L218" s="114"/>
      <c r="M218" s="114"/>
    </row>
    <row r="219" spans="1:13">
      <c r="E219" s="114" t="s">
        <v>1034</v>
      </c>
      <c r="F219" s="114"/>
      <c r="G219" s="114"/>
      <c r="H219" s="114"/>
      <c r="I219" s="114"/>
      <c r="J219" s="114"/>
      <c r="K219" s="114"/>
      <c r="L219" s="114"/>
      <c r="M219" s="114"/>
    </row>
    <row r="220" spans="1:13">
      <c r="E220" s="114" t="s">
        <v>1035</v>
      </c>
      <c r="F220" s="114"/>
      <c r="G220" s="114"/>
      <c r="H220" s="114"/>
      <c r="I220" s="114"/>
      <c r="J220" s="114"/>
      <c r="K220" s="114"/>
      <c r="L220" s="114"/>
      <c r="M220" s="114"/>
    </row>
    <row r="221" spans="1:13">
      <c r="E221" s="114" t="s">
        <v>1036</v>
      </c>
      <c r="F221" s="114"/>
      <c r="G221" s="114"/>
      <c r="H221" s="114"/>
      <c r="I221" s="114"/>
      <c r="J221" s="114"/>
      <c r="K221" s="114"/>
      <c r="L221" s="114"/>
      <c r="M221" s="114"/>
    </row>
    <row r="222" spans="1:13">
      <c r="E222" s="114" t="s">
        <v>1037</v>
      </c>
      <c r="F222" s="114"/>
      <c r="G222" s="114"/>
      <c r="H222" s="114"/>
      <c r="I222" s="114"/>
      <c r="J222" s="114"/>
      <c r="K222" s="114"/>
      <c r="L222" s="114"/>
      <c r="M222" s="114"/>
    </row>
    <row r="223" spans="1:13">
      <c r="E223" s="114" t="s">
        <v>1038</v>
      </c>
      <c r="F223" s="114"/>
      <c r="G223" s="114"/>
      <c r="H223" s="114"/>
      <c r="I223" s="114"/>
      <c r="J223" s="114"/>
      <c r="K223" s="114"/>
      <c r="L223" s="114"/>
      <c r="M223" s="114"/>
    </row>
    <row r="224" spans="1:13">
      <c r="E224" s="114" t="s">
        <v>1039</v>
      </c>
      <c r="F224" s="114"/>
      <c r="G224" s="114"/>
      <c r="H224" s="114"/>
      <c r="I224" s="114"/>
      <c r="J224" s="114"/>
      <c r="K224" s="114"/>
      <c r="L224" s="114"/>
      <c r="M224" s="114"/>
    </row>
    <row r="225" spans="1:13">
      <c r="E225" s="114" t="s">
        <v>1040</v>
      </c>
      <c r="F225" s="114"/>
      <c r="G225" s="114"/>
      <c r="H225" s="114"/>
      <c r="I225" s="114"/>
      <c r="J225" s="114"/>
      <c r="K225" s="114"/>
      <c r="L225" s="114"/>
      <c r="M225" s="114"/>
    </row>
    <row r="226" spans="1:13">
      <c r="A226" s="114" t="s">
        <v>1013</v>
      </c>
      <c r="B226" s="114" t="s">
        <v>1042</v>
      </c>
      <c r="D226" s="402">
        <v>2</v>
      </c>
      <c r="E226" s="114"/>
      <c r="F226" s="114"/>
      <c r="G226" s="114"/>
      <c r="H226" s="114"/>
      <c r="I226" s="114"/>
      <c r="J226" s="114"/>
      <c r="K226" s="114"/>
      <c r="L226" s="114"/>
      <c r="M226" s="114"/>
    </row>
    <row r="227" spans="1:13">
      <c r="A227" s="114" t="s">
        <v>1013</v>
      </c>
      <c r="B227" s="114" t="s">
        <v>1043</v>
      </c>
      <c r="D227" s="402">
        <v>1</v>
      </c>
      <c r="E227" s="114"/>
      <c r="F227" s="114"/>
      <c r="G227" s="114"/>
      <c r="H227" s="114"/>
      <c r="I227" s="114"/>
      <c r="J227" s="114"/>
      <c r="K227" s="114"/>
      <c r="L227" s="114"/>
      <c r="M227" s="114"/>
    </row>
    <row r="228" spans="1:13">
      <c r="A228" s="114" t="s">
        <v>1013</v>
      </c>
      <c r="B228" s="114" t="s">
        <v>1044</v>
      </c>
      <c r="D228" s="402">
        <v>0</v>
      </c>
      <c r="E228" s="114"/>
      <c r="F228" s="114"/>
      <c r="G228" s="114"/>
      <c r="H228" s="114"/>
      <c r="I228" s="114"/>
      <c r="J228" s="114"/>
      <c r="K228" s="114"/>
      <c r="L228" s="114"/>
      <c r="M228" s="114"/>
    </row>
    <row r="229" spans="1:13">
      <c r="A229" s="114" t="s">
        <v>1013</v>
      </c>
      <c r="B229" s="114" t="s">
        <v>1045</v>
      </c>
      <c r="D229" s="402">
        <v>0</v>
      </c>
      <c r="E229" s="114"/>
      <c r="F229" s="114"/>
      <c r="G229" s="114"/>
      <c r="H229" s="114"/>
      <c r="I229" s="114"/>
      <c r="J229" s="114"/>
      <c r="K229" s="114"/>
      <c r="L229" s="114"/>
      <c r="M229" s="114"/>
    </row>
    <row r="230" spans="1:13">
      <c r="D230" s="402"/>
      <c r="E230" s="114"/>
      <c r="F230" s="114"/>
      <c r="G230" s="114"/>
      <c r="H230" s="114"/>
      <c r="I230" s="114"/>
      <c r="J230" s="114"/>
      <c r="K230" s="114"/>
      <c r="L230" s="114"/>
      <c r="M230" s="114"/>
    </row>
    <row r="231" spans="1:13">
      <c r="A231" s="114" t="s">
        <v>1013</v>
      </c>
      <c r="B231" s="114" t="s">
        <v>1046</v>
      </c>
      <c r="D231" s="402">
        <v>1</v>
      </c>
      <c r="E231" s="114"/>
      <c r="F231" s="114"/>
      <c r="G231" s="114"/>
      <c r="H231" s="114"/>
      <c r="I231" s="114"/>
      <c r="J231" s="114"/>
      <c r="K231" s="114"/>
      <c r="L231" s="114"/>
      <c r="M231" s="114"/>
    </row>
    <row r="232" spans="1:13">
      <c r="A232" s="114" t="s">
        <v>1013</v>
      </c>
      <c r="B232" s="114" t="s">
        <v>1047</v>
      </c>
      <c r="D232" s="402">
        <v>2</v>
      </c>
      <c r="E232" s="114"/>
      <c r="F232" s="114"/>
      <c r="G232" s="114"/>
      <c r="H232" s="114"/>
      <c r="I232" s="114"/>
      <c r="J232" s="114"/>
      <c r="K232" s="114"/>
      <c r="L232" s="114"/>
      <c r="M232" s="114"/>
    </row>
    <row r="233" spans="1:13">
      <c r="A233" s="114" t="s">
        <v>1013</v>
      </c>
      <c r="B233" s="114" t="s">
        <v>1048</v>
      </c>
      <c r="D233" s="402">
        <v>0</v>
      </c>
      <c r="E233" s="114"/>
      <c r="F233" s="114"/>
      <c r="G233" s="114"/>
      <c r="H233" s="114"/>
      <c r="I233" s="114"/>
      <c r="J233" s="114"/>
      <c r="K233" s="114"/>
      <c r="L233" s="114"/>
      <c r="M233" s="114"/>
    </row>
    <row r="234" spans="1:13">
      <c r="A234" s="114" t="s">
        <v>1013</v>
      </c>
      <c r="B234" s="114" t="s">
        <v>1049</v>
      </c>
      <c r="D234" s="402">
        <v>0</v>
      </c>
      <c r="E234" s="114"/>
      <c r="F234" s="114"/>
      <c r="G234" s="114"/>
      <c r="H234" s="114"/>
      <c r="I234" s="114"/>
      <c r="J234" s="114"/>
      <c r="K234" s="114"/>
      <c r="L234" s="114"/>
      <c r="M234" s="114"/>
    </row>
    <row r="235" spans="1:13">
      <c r="E235" s="114"/>
      <c r="F235" s="114"/>
      <c r="G235" s="114"/>
      <c r="H235" s="114"/>
      <c r="I235" s="114"/>
      <c r="J235" s="114"/>
      <c r="K235" s="114"/>
      <c r="L235" s="114"/>
      <c r="M235" s="114"/>
    </row>
    <row r="236" spans="1:13">
      <c r="A236" s="114" t="s">
        <v>1013</v>
      </c>
      <c r="B236" s="114" t="s">
        <v>1050</v>
      </c>
      <c r="D236" s="470" t="str">
        <f>'Register Configuration'!C698</f>
        <v>0x00</v>
      </c>
      <c r="E236" s="114" t="s">
        <v>1053</v>
      </c>
      <c r="F236" s="114"/>
      <c r="G236" s="114"/>
      <c r="H236" s="114"/>
      <c r="I236" s="114"/>
      <c r="J236" s="114"/>
      <c r="K236" s="114"/>
      <c r="L236" s="114"/>
      <c r="M236" s="114"/>
    </row>
    <row r="237" spans="1:13">
      <c r="E237" s="114" t="s">
        <v>1051</v>
      </c>
      <c r="F237" s="114"/>
      <c r="G237" s="114"/>
      <c r="H237" s="114"/>
      <c r="I237" s="114"/>
      <c r="J237" s="114"/>
      <c r="K237" s="114"/>
      <c r="L237" s="114"/>
      <c r="M237" s="114"/>
    </row>
    <row r="238" spans="1:13">
      <c r="E238" s="114" t="s">
        <v>1052</v>
      </c>
      <c r="F238" s="114"/>
      <c r="G238" s="114"/>
      <c r="H238" s="114"/>
      <c r="I238" s="114"/>
      <c r="J238" s="114"/>
      <c r="K238" s="114"/>
      <c r="L238" s="114"/>
      <c r="M238" s="114"/>
    </row>
    <row r="239" spans="1:13">
      <c r="E239" s="114"/>
      <c r="F239" s="114"/>
      <c r="G239" s="114"/>
      <c r="H239" s="114"/>
      <c r="I239" s="114"/>
      <c r="J239" s="114"/>
      <c r="K239" s="114"/>
      <c r="L239" s="114"/>
      <c r="M239" s="114"/>
    </row>
    <row r="240" spans="1:13">
      <c r="A240" s="114" t="s">
        <v>1054</v>
      </c>
      <c r="E240" s="114"/>
      <c r="F240" s="114"/>
      <c r="G240" s="114"/>
      <c r="H240" s="114"/>
      <c r="I240" s="114"/>
      <c r="J240" s="114"/>
      <c r="K240" s="114"/>
      <c r="L240" s="114"/>
      <c r="M240" s="114"/>
    </row>
    <row r="241" spans="1:13">
      <c r="A241" s="114" t="s">
        <v>1013</v>
      </c>
      <c r="B241" s="114" t="s">
        <v>1055</v>
      </c>
      <c r="D241" s="469" t="s">
        <v>1056</v>
      </c>
      <c r="E241" s="114" t="s">
        <v>1057</v>
      </c>
      <c r="F241" s="114"/>
      <c r="G241" s="114"/>
      <c r="H241" s="114"/>
      <c r="I241" s="114"/>
      <c r="J241" s="114"/>
      <c r="K241" s="114"/>
      <c r="L241" s="114"/>
      <c r="M241" s="114"/>
    </row>
    <row r="242" spans="1:13">
      <c r="E242" s="114" t="s">
        <v>1058</v>
      </c>
      <c r="F242" s="114"/>
      <c r="G242" s="114"/>
      <c r="H242" s="114"/>
      <c r="I242" s="114"/>
      <c r="J242" s="114"/>
      <c r="K242" s="114"/>
      <c r="L242" s="114"/>
      <c r="M242" s="114"/>
    </row>
    <row r="243" spans="1:13">
      <c r="E243" s="114" t="s">
        <v>1059</v>
      </c>
      <c r="F243" s="114"/>
      <c r="G243" s="114"/>
      <c r="H243" s="114"/>
      <c r="I243" s="114"/>
      <c r="J243" s="114"/>
      <c r="K243" s="114"/>
      <c r="L243" s="114"/>
      <c r="M243" s="114"/>
    </row>
    <row r="244" spans="1:13">
      <c r="E244" s="114" t="s">
        <v>1060</v>
      </c>
      <c r="F244" s="114"/>
      <c r="G244" s="114"/>
      <c r="H244" s="114"/>
      <c r="I244" s="114"/>
      <c r="J244" s="114"/>
      <c r="K244" s="114"/>
      <c r="L244" s="114"/>
      <c r="M244" s="114"/>
    </row>
    <row r="245" spans="1:13">
      <c r="E245" s="114" t="s">
        <v>1061</v>
      </c>
      <c r="F245" s="114"/>
      <c r="G245" s="114"/>
      <c r="H245" s="114"/>
      <c r="I245" s="114"/>
      <c r="J245" s="114"/>
      <c r="K245" s="114"/>
      <c r="L245" s="114"/>
      <c r="M245" s="114"/>
    </row>
    <row r="246" spans="1:13">
      <c r="E246" s="114" t="s">
        <v>1062</v>
      </c>
      <c r="F246" s="114"/>
      <c r="G246" s="114"/>
      <c r="H246" s="114"/>
      <c r="I246" s="114"/>
      <c r="J246" s="114"/>
      <c r="K246" s="114"/>
      <c r="L246" s="114"/>
      <c r="M246" s="114"/>
    </row>
    <row r="247" spans="1:13">
      <c r="E247" s="114" t="s">
        <v>1063</v>
      </c>
      <c r="F247" s="114"/>
      <c r="G247" s="114"/>
      <c r="H247" s="114"/>
      <c r="I247" s="114"/>
      <c r="J247" s="114"/>
      <c r="K247" s="114"/>
      <c r="L247" s="114"/>
      <c r="M247" s="114"/>
    </row>
    <row r="248" spans="1:13">
      <c r="E248" s="114" t="s">
        <v>1064</v>
      </c>
      <c r="F248" s="114"/>
      <c r="G248" s="114"/>
      <c r="H248" s="114"/>
      <c r="I248" s="114"/>
      <c r="J248" s="114"/>
      <c r="K248" s="114"/>
      <c r="L248" s="114"/>
      <c r="M248" s="114"/>
    </row>
    <row r="249" spans="1:13">
      <c r="E249" s="114" t="s">
        <v>1065</v>
      </c>
      <c r="F249" s="114"/>
      <c r="G249" s="114"/>
      <c r="H249" s="114"/>
      <c r="I249" s="114"/>
      <c r="J249" s="114"/>
      <c r="K249" s="114"/>
      <c r="L249" s="114"/>
      <c r="M249" s="114"/>
    </row>
    <row r="250" spans="1:13">
      <c r="E250" s="114" t="s">
        <v>1066</v>
      </c>
      <c r="F250" s="114"/>
      <c r="G250" s="114"/>
      <c r="H250" s="114"/>
      <c r="I250" s="114"/>
      <c r="J250" s="114"/>
      <c r="K250" s="114"/>
      <c r="L250" s="114"/>
      <c r="M250" s="114"/>
    </row>
    <row r="251" spans="1:13">
      <c r="E251" s="114" t="s">
        <v>1067</v>
      </c>
      <c r="F251" s="114"/>
      <c r="G251" s="114"/>
      <c r="H251" s="114"/>
      <c r="I251" s="114"/>
      <c r="J251" s="114"/>
      <c r="K251" s="114"/>
      <c r="L251" s="114"/>
      <c r="M251" s="114"/>
    </row>
    <row r="252" spans="1:13">
      <c r="E252" s="114" t="s">
        <v>1068</v>
      </c>
      <c r="F252" s="114"/>
      <c r="G252" s="114"/>
      <c r="H252" s="114"/>
      <c r="I252" s="114"/>
      <c r="J252" s="114"/>
      <c r="K252" s="114"/>
      <c r="L252" s="114"/>
      <c r="M252" s="114"/>
    </row>
    <row r="253" spans="1:13">
      <c r="E253" s="114" t="s">
        <v>1069</v>
      </c>
      <c r="F253" s="114"/>
      <c r="G253" s="114"/>
      <c r="H253" s="114"/>
      <c r="I253" s="114"/>
      <c r="J253" s="114"/>
      <c r="K253" s="114"/>
      <c r="L253" s="114"/>
      <c r="M253" s="114"/>
    </row>
    <row r="254" spans="1:13">
      <c r="E254" s="114"/>
      <c r="F254" s="114"/>
      <c r="G254" s="114"/>
      <c r="H254" s="114"/>
      <c r="I254" s="114"/>
      <c r="J254" s="114"/>
      <c r="K254" s="114"/>
      <c r="L254" s="114"/>
      <c r="M254" s="114"/>
    </row>
    <row r="255" spans="1:13">
      <c r="A255" s="114" t="s">
        <v>1070</v>
      </c>
      <c r="E255" s="114"/>
      <c r="F255" s="114"/>
      <c r="G255" s="114"/>
      <c r="H255" s="114"/>
      <c r="I255" s="114"/>
      <c r="J255" s="114"/>
      <c r="K255" s="114"/>
      <c r="L255" s="114"/>
      <c r="M255" s="114"/>
    </row>
    <row r="256" spans="1:13">
      <c r="A256" s="114" t="s">
        <v>1013</v>
      </c>
      <c r="B256" s="114" t="s">
        <v>1071</v>
      </c>
      <c r="D256" s="469" t="s">
        <v>1072</v>
      </c>
      <c r="E256" s="114" t="s">
        <v>1073</v>
      </c>
      <c r="F256" s="114"/>
      <c r="G256" s="114"/>
      <c r="H256" s="114"/>
      <c r="I256" s="114"/>
      <c r="J256" s="114"/>
      <c r="K256" s="114"/>
      <c r="L256" s="114"/>
      <c r="M256" s="114"/>
    </row>
    <row r="257" spans="1:13">
      <c r="E257" s="114" t="s">
        <v>1074</v>
      </c>
      <c r="F257" s="114"/>
      <c r="G257" s="114"/>
      <c r="H257" s="114"/>
      <c r="I257" s="114"/>
      <c r="J257" s="114"/>
      <c r="K257" s="114"/>
      <c r="L257" s="114"/>
      <c r="M257" s="114"/>
    </row>
    <row r="258" spans="1:13">
      <c r="E258" s="114" t="s">
        <v>1075</v>
      </c>
      <c r="F258" s="114"/>
      <c r="G258" s="114"/>
      <c r="H258" s="114"/>
      <c r="I258" s="114"/>
      <c r="J258" s="114"/>
      <c r="K258" s="114"/>
      <c r="L258" s="114"/>
      <c r="M258" s="114"/>
    </row>
    <row r="259" spans="1:13">
      <c r="E259" s="114" t="s">
        <v>1076</v>
      </c>
      <c r="F259" s="114"/>
      <c r="G259" s="114"/>
      <c r="H259" s="114"/>
      <c r="I259" s="114"/>
      <c r="J259" s="114"/>
      <c r="K259" s="114"/>
      <c r="L259" s="114"/>
      <c r="M259" s="114"/>
    </row>
    <row r="260" spans="1:13">
      <c r="E260" s="114" t="s">
        <v>1077</v>
      </c>
      <c r="F260" s="114"/>
      <c r="G260" s="114"/>
      <c r="H260" s="114"/>
      <c r="I260" s="114"/>
      <c r="J260" s="114"/>
      <c r="K260" s="114"/>
      <c r="L260" s="114"/>
      <c r="M260" s="114"/>
    </row>
    <row r="261" spans="1:13">
      <c r="E261" s="114" t="s">
        <v>1078</v>
      </c>
      <c r="F261" s="114"/>
      <c r="G261" s="114"/>
      <c r="H261" s="114"/>
      <c r="I261" s="114"/>
      <c r="J261" s="114"/>
      <c r="K261" s="114"/>
      <c r="L261" s="114"/>
      <c r="M261" s="114"/>
    </row>
    <row r="262" spans="1:13">
      <c r="E262" s="114"/>
      <c r="F262" s="114"/>
      <c r="G262" s="114"/>
      <c r="H262" s="114"/>
      <c r="I262" s="114"/>
      <c r="J262" s="114"/>
      <c r="K262" s="114"/>
      <c r="L262" s="114"/>
      <c r="M262" s="114"/>
    </row>
    <row r="263" spans="1:13">
      <c r="A263" s="114" t="s">
        <v>1013</v>
      </c>
      <c r="B263" s="114" t="s">
        <v>1097</v>
      </c>
      <c r="D263" s="470" t="str">
        <f>'Register Configuration'!C658</f>
        <v>0x0C50</v>
      </c>
      <c r="E263" s="114"/>
      <c r="F263" s="114"/>
      <c r="G263" s="114"/>
      <c r="H263" s="114"/>
      <c r="I263" s="114"/>
      <c r="J263" s="114"/>
      <c r="K263" s="114"/>
      <c r="L263" s="114"/>
      <c r="M263" s="114"/>
    </row>
    <row r="264" spans="1:13">
      <c r="A264" s="114" t="s">
        <v>1013</v>
      </c>
      <c r="B264" s="114" t="s">
        <v>1098</v>
      </c>
      <c r="D264" s="470" t="str">
        <f>'Register Configuration'!C659</f>
        <v>0x0501</v>
      </c>
      <c r="E264" s="114"/>
      <c r="F264" s="114"/>
      <c r="G264" s="114"/>
      <c r="H264" s="114"/>
      <c r="I264" s="114"/>
      <c r="J264" s="114"/>
      <c r="K264" s="114"/>
      <c r="L264" s="114"/>
      <c r="M264" s="114"/>
    </row>
    <row r="265" spans="1:13">
      <c r="A265" s="114" t="s">
        <v>1013</v>
      </c>
      <c r="B265" s="114" t="s">
        <v>1099</v>
      </c>
      <c r="D265" s="470" t="str">
        <f>'Register Configuration'!C660</f>
        <v>0x0028</v>
      </c>
      <c r="E265" s="114"/>
      <c r="F265" s="114"/>
      <c r="G265" s="114"/>
      <c r="H265" s="114"/>
      <c r="I265" s="114"/>
      <c r="J265" s="114"/>
      <c r="K265" s="114"/>
      <c r="L265" s="114"/>
      <c r="M265" s="114"/>
    </row>
    <row r="266" spans="1:13">
      <c r="A266" s="114" t="s">
        <v>1013</v>
      </c>
      <c r="B266" s="114" t="s">
        <v>1100</v>
      </c>
      <c r="D266" s="470" t="str">
        <f>'Register Configuration'!C661</f>
        <v>0x0400</v>
      </c>
      <c r="E266" s="114"/>
      <c r="F266" s="114"/>
      <c r="G266" s="114"/>
      <c r="H266" s="114"/>
      <c r="I266" s="114"/>
      <c r="J266" s="114"/>
      <c r="K266" s="114"/>
      <c r="L266" s="114"/>
      <c r="M266" s="114"/>
    </row>
    <row r="267" spans="1:13">
      <c r="A267" s="114" t="s">
        <v>1013</v>
      </c>
      <c r="B267" s="114" t="s">
        <v>1101</v>
      </c>
      <c r="D267" s="470" t="str">
        <f>'Register Configuration'!C662</f>
        <v>0x0200</v>
      </c>
      <c r="E267" s="114"/>
      <c r="F267" s="114"/>
      <c r="G267" s="114"/>
      <c r="H267" s="114"/>
      <c r="I267" s="114"/>
      <c r="J267" s="114"/>
      <c r="K267" s="114"/>
      <c r="L267" s="114"/>
      <c r="M267" s="114"/>
    </row>
    <row r="268" spans="1:13">
      <c r="A268" s="114" t="s">
        <v>1013</v>
      </c>
      <c r="B268" s="114" t="s">
        <v>1102</v>
      </c>
      <c r="D268" s="470" t="str">
        <f>'Register Configuration'!C663</f>
        <v>0x0600</v>
      </c>
      <c r="E268" s="114"/>
      <c r="F268" s="114"/>
      <c r="G268" s="114"/>
      <c r="H268" s="114"/>
      <c r="I268" s="114"/>
      <c r="J268" s="114"/>
      <c r="K268" s="114"/>
      <c r="L268" s="114"/>
      <c r="M268" s="114"/>
    </row>
    <row r="269" spans="1:13">
      <c r="A269" s="114" t="s">
        <v>1013</v>
      </c>
      <c r="B269" s="114" t="s">
        <v>1103</v>
      </c>
      <c r="D269" s="470" t="str">
        <f>'Register Configuration'!C664</f>
        <v>0x1010</v>
      </c>
      <c r="E269" s="114"/>
      <c r="F269" s="114"/>
      <c r="G269" s="114"/>
      <c r="H269" s="114"/>
      <c r="I269" s="114"/>
      <c r="J269" s="114"/>
      <c r="K269" s="114"/>
      <c r="L269" s="114"/>
      <c r="M269" s="114"/>
    </row>
    <row r="270" spans="1:13">
      <c r="E270" s="114"/>
      <c r="F270" s="114"/>
      <c r="G270" s="114"/>
      <c r="H270" s="114"/>
      <c r="I270" s="114"/>
      <c r="J270" s="114"/>
      <c r="K270" s="114"/>
      <c r="L270" s="114"/>
      <c r="M270" s="114"/>
    </row>
    <row r="271" spans="1:13">
      <c r="A271" s="114" t="str">
        <f>IF('Register Configuration'!G31&gt;1, "", "#") &amp;"ddrparam set"</f>
        <v>ddrparam set</v>
      </c>
      <c r="B271" s="114" t="s">
        <v>1104</v>
      </c>
      <c r="D271" s="470" t="str">
        <f>'Register Configuration'!C666</f>
        <v>0x0004</v>
      </c>
      <c r="E271" s="114"/>
      <c r="F271" s="114"/>
      <c r="G271" s="114"/>
      <c r="H271" s="114"/>
      <c r="I271" s="114"/>
      <c r="J271" s="114"/>
      <c r="K271" s="114"/>
      <c r="L271" s="114"/>
      <c r="M271" s="114"/>
    </row>
    <row r="272" spans="1:13">
      <c r="A272" s="114" t="str">
        <f>IF('Register Configuration'!G31&gt;1, "", "#") &amp;"ddrparam set"</f>
        <v>ddrparam set</v>
      </c>
      <c r="B272" s="114" t="s">
        <v>1105</v>
      </c>
      <c r="D272" s="470" t="str">
        <f>'Register Configuration'!C667</f>
        <v>0x0501</v>
      </c>
      <c r="E272" s="114"/>
      <c r="F272" s="114"/>
      <c r="G272" s="114"/>
      <c r="H272" s="114"/>
      <c r="I272" s="114"/>
      <c r="J272" s="114"/>
      <c r="K272" s="114"/>
      <c r="L272" s="114"/>
      <c r="M272" s="114"/>
    </row>
    <row r="273" spans="1:13">
      <c r="A273" s="114" t="str">
        <f>IF('Register Configuration'!G31&gt;1, "", "#") &amp;"ddrparam set"</f>
        <v>ddrparam set</v>
      </c>
      <c r="B273" s="114" t="s">
        <v>1106</v>
      </c>
      <c r="D273" s="470" t="str">
        <f>'Register Configuration'!C668</f>
        <v>0x0000</v>
      </c>
      <c r="E273" s="114"/>
      <c r="F273" s="114"/>
      <c r="G273" s="114"/>
      <c r="H273" s="114"/>
      <c r="I273" s="114"/>
      <c r="J273" s="114"/>
      <c r="K273" s="114"/>
      <c r="L273" s="114"/>
      <c r="M273" s="114"/>
    </row>
    <row r="274" spans="1:13">
      <c r="A274" s="114" t="str">
        <f>IF('Register Configuration'!G31&gt;1, "", "#") &amp;"ddrparam set"</f>
        <v>ddrparam set</v>
      </c>
      <c r="B274" s="114" t="s">
        <v>1107</v>
      </c>
      <c r="D274" s="470" t="str">
        <f>'Register Configuration'!C669</f>
        <v>0x0000</v>
      </c>
      <c r="E274" s="114"/>
      <c r="F274" s="114"/>
      <c r="G274" s="114"/>
      <c r="H274" s="114"/>
      <c r="I274" s="114"/>
      <c r="J274" s="114"/>
      <c r="K274" s="114"/>
      <c r="L274" s="114"/>
      <c r="M274" s="114"/>
    </row>
    <row r="275" spans="1:13">
      <c r="A275" s="114" t="str">
        <f>IF('Register Configuration'!G31&gt;1, "", "#") &amp;"ddrparam set"</f>
        <v>ddrparam set</v>
      </c>
      <c r="B275" s="114" t="s">
        <v>1108</v>
      </c>
      <c r="D275" s="470" t="str">
        <f>'Register Configuration'!C670</f>
        <v>0x0200</v>
      </c>
      <c r="E275" s="114"/>
      <c r="F275" s="114"/>
      <c r="G275" s="114"/>
      <c r="H275" s="114"/>
      <c r="I275" s="114"/>
      <c r="J275" s="114"/>
      <c r="K275" s="114"/>
      <c r="L275" s="114"/>
      <c r="M275" s="114"/>
    </row>
    <row r="276" spans="1:13">
      <c r="A276" s="114" t="str">
        <f>IF('Register Configuration'!G31&gt;1, "", "#") &amp;"ddrparam set"</f>
        <v>ddrparam set</v>
      </c>
      <c r="B276" s="114" t="s">
        <v>1109</v>
      </c>
      <c r="D276" s="470" t="str">
        <f>'Register Configuration'!C671</f>
        <v>0x0600</v>
      </c>
      <c r="E276" s="114"/>
      <c r="F276" s="114"/>
      <c r="G276" s="114"/>
      <c r="H276" s="114"/>
      <c r="I276" s="114"/>
      <c r="J276" s="114"/>
      <c r="K276" s="114"/>
      <c r="L276" s="114"/>
      <c r="M276" s="114"/>
    </row>
    <row r="277" spans="1:13">
      <c r="A277" s="114" t="str">
        <f>IF('Register Configuration'!G31&gt;1, "", "#") &amp;"ddrparam set"</f>
        <v>ddrparam set</v>
      </c>
      <c r="B277" s="114" t="s">
        <v>1110</v>
      </c>
      <c r="D277" s="470" t="str">
        <f>'Register Configuration'!C672</f>
        <v>0x0410</v>
      </c>
      <c r="E277" s="114"/>
      <c r="F277" s="114"/>
      <c r="G277" s="114"/>
      <c r="H277" s="114"/>
      <c r="I277" s="114"/>
      <c r="J277" s="114"/>
      <c r="K277" s="114"/>
      <c r="L277" s="114"/>
      <c r="M277" s="114"/>
    </row>
    <row r="278" spans="1:13">
      <c r="E278" s="114"/>
      <c r="F278" s="114"/>
      <c r="G278" s="114"/>
      <c r="H278" s="114"/>
      <c r="I278" s="114"/>
      <c r="J278" s="114"/>
      <c r="K278" s="114"/>
      <c r="L278" s="114"/>
      <c r="M278" s="114"/>
    </row>
    <row r="279" spans="1:13">
      <c r="A279" s="114" t="s">
        <v>1013</v>
      </c>
      <c r="B279" s="114" t="s">
        <v>1079</v>
      </c>
      <c r="D279" s="470" t="str">
        <f>'Register Configuration'!C695</f>
        <v>0x0</v>
      </c>
      <c r="E279" s="114"/>
      <c r="F279" s="114"/>
      <c r="G279" s="114"/>
      <c r="H279" s="114"/>
      <c r="I279" s="114"/>
      <c r="J279" s="114"/>
      <c r="K279" s="114"/>
      <c r="L279" s="114"/>
      <c r="M279" s="114"/>
    </row>
    <row r="280" spans="1:13">
      <c r="A280" s="114" t="s">
        <v>1013</v>
      </c>
      <c r="B280" s="114" t="s">
        <v>1080</v>
      </c>
      <c r="D280" s="470" t="str">
        <f>'Register Configuration'!C696</f>
        <v>0x0</v>
      </c>
      <c r="E280" s="114"/>
      <c r="F280" s="114"/>
      <c r="G280" s="114"/>
      <c r="H280" s="114"/>
      <c r="I280" s="114"/>
      <c r="J280" s="114"/>
      <c r="K280" s="114"/>
      <c r="L280" s="114"/>
      <c r="M280" s="114"/>
    </row>
    <row r="281" spans="1:13">
      <c r="E281" s="114"/>
      <c r="F281" s="114"/>
      <c r="G281" s="114"/>
      <c r="H281" s="114"/>
      <c r="I281" s="114"/>
      <c r="J281" s="114"/>
      <c r="K281" s="114"/>
      <c r="L281" s="114"/>
      <c r="M281" s="114"/>
    </row>
    <row r="282" spans="1:13">
      <c r="A282" s="114" t="s">
        <v>1013</v>
      </c>
      <c r="B282" s="114" t="s">
        <v>1081</v>
      </c>
      <c r="D282" s="404">
        <f>'Register Configuration'!C674</f>
        <v>30</v>
      </c>
    </row>
    <row r="283" spans="1:13">
      <c r="A283" s="114" t="s">
        <v>1013</v>
      </c>
      <c r="B283" s="114" t="s">
        <v>1082</v>
      </c>
      <c r="D283" s="404">
        <f>'Register Configuration'!C675</f>
        <v>48</v>
      </c>
    </row>
    <row r="284" spans="1:13">
      <c r="A284" s="114" t="s">
        <v>1013</v>
      </c>
      <c r="B284" s="114" t="s">
        <v>1083</v>
      </c>
      <c r="D284" s="404">
        <f>'Register Configuration'!C676</f>
        <v>34</v>
      </c>
    </row>
    <row r="286" spans="1:13">
      <c r="A286" s="114" t="s">
        <v>1013</v>
      </c>
      <c r="B286" s="114" t="s">
        <v>1084</v>
      </c>
      <c r="D286" s="470" t="str">
        <f>'Register Configuration'!C678</f>
        <v>0x00</v>
      </c>
    </row>
    <row r="287" spans="1:13">
      <c r="A287" s="114" t="s">
        <v>1013</v>
      </c>
      <c r="B287" s="114" t="s">
        <v>1085</v>
      </c>
      <c r="D287" s="470" t="str">
        <f>'Register Configuration'!C679</f>
        <v>0x00</v>
      </c>
    </row>
    <row r="289" spans="1:4">
      <c r="A289" s="114" t="s">
        <v>1013</v>
      </c>
      <c r="B289" s="114" t="s">
        <v>1086</v>
      </c>
      <c r="D289" s="470" t="str">
        <f>'Register Configuration'!C681</f>
        <v>0x0f</v>
      </c>
    </row>
    <row r="290" spans="1:4">
      <c r="A290" s="114" t="s">
        <v>1013</v>
      </c>
      <c r="B290" s="114" t="s">
        <v>1087</v>
      </c>
      <c r="D290" s="470" t="str">
        <f>'Register Configuration'!C682</f>
        <v>0x0d</v>
      </c>
    </row>
    <row r="291" spans="1:4">
      <c r="A291" s="114" t="s">
        <v>1013</v>
      </c>
      <c r="B291" s="114" t="s">
        <v>1088</v>
      </c>
      <c r="D291" s="470" t="str">
        <f>'Register Configuration'!C683</f>
        <v>0x05</v>
      </c>
    </row>
    <row r="292" spans="1:4">
      <c r="A292" s="114" t="s">
        <v>1013</v>
      </c>
      <c r="B292" s="114" t="s">
        <v>1089</v>
      </c>
      <c r="D292" s="470" t="str">
        <f>'Register Configuration'!C684</f>
        <v>0x05</v>
      </c>
    </row>
    <row r="294" spans="1:4">
      <c r="A294" s="114" t="s">
        <v>1013</v>
      </c>
      <c r="B294" s="114" t="s">
        <v>1090</v>
      </c>
      <c r="D294" s="470" t="str">
        <f>'Register Configuration'!C686</f>
        <v>0x09</v>
      </c>
    </row>
    <row r="295" spans="1:4">
      <c r="A295" s="114" t="s">
        <v>1013</v>
      </c>
      <c r="B295" s="114" t="s">
        <v>1091</v>
      </c>
      <c r="D295" s="470" t="str">
        <f>'Register Configuration'!C687</f>
        <v>0x00</v>
      </c>
    </row>
    <row r="297" spans="1:4">
      <c r="A297" s="114" t="s">
        <v>1013</v>
      </c>
      <c r="B297" s="114" t="s">
        <v>1092</v>
      </c>
      <c r="D297" s="469" t="s">
        <v>1111</v>
      </c>
    </row>
    <row r="298" spans="1:4">
      <c r="A298" s="114" t="s">
        <v>1013</v>
      </c>
      <c r="B298" s="114" t="s">
        <v>1093</v>
      </c>
      <c r="D298" s="469" t="s">
        <v>1111</v>
      </c>
    </row>
    <row r="299" spans="1:4">
      <c r="A299" s="114" t="s">
        <v>1013</v>
      </c>
      <c r="B299" s="114" t="s">
        <v>1094</v>
      </c>
      <c r="D299" s="469" t="s">
        <v>1113</v>
      </c>
    </row>
    <row r="300" spans="1:4">
      <c r="A300" s="114" t="s">
        <v>1013</v>
      </c>
      <c r="B300" s="114" t="s">
        <v>1095</v>
      </c>
      <c r="D300" s="469" t="s">
        <v>1114</v>
      </c>
    </row>
    <row r="301" spans="1:4">
      <c r="A301" s="114" t="s">
        <v>1013</v>
      </c>
      <c r="B301" s="114" t="s">
        <v>1096</v>
      </c>
      <c r="D301" s="469" t="s">
        <v>1115</v>
      </c>
    </row>
  </sheetData>
  <dataConsolidate/>
  <phoneticPr fontId="28"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How To Use</vt:lpstr>
      <vt:lpstr>Revision History</vt:lpstr>
      <vt:lpstr>Register Configuration</vt:lpstr>
      <vt:lpstr>ECC_CONFIG</vt:lpstr>
      <vt:lpstr>DDR stress test file</vt:lpstr>
      <vt:lpstr>BusWidth</vt:lpstr>
      <vt:lpstr>DDRTypes</vt:lpstr>
      <vt:lpstr>'Register Configuration'!Print_Area</vt:lpstr>
      <vt:lpstr>RowBankInterleavingOption</vt:lpstr>
    </vt:vector>
  </TitlesOfParts>
  <Company>Freescale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ra7694</dc:creator>
  <cp:lastModifiedBy>Jan Spurek</cp:lastModifiedBy>
  <cp:lastPrinted>2009-11-19T19:37:47Z</cp:lastPrinted>
  <dcterms:created xsi:type="dcterms:W3CDTF">2008-07-23T13:35:02Z</dcterms:created>
  <dcterms:modified xsi:type="dcterms:W3CDTF">2023-03-16T08:20:01Z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