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Use" sheetId="1" r:id="rId4"/>
    <sheet state="visible" name="Revision History" sheetId="2" r:id="rId5"/>
    <sheet state="visible" name="Register Configuration" sheetId="3" r:id="rId6"/>
    <sheet state="visible" name="BoardDataBusConfig" sheetId="4" r:id="rId7"/>
    <sheet state="visible" name="ECC_Config_BinaryAligned" sheetId="5" r:id="rId8"/>
    <sheet state="visible" name="ECC_Config_nonBinaryAligned" sheetId="6" r:id="rId9"/>
    <sheet state="visible" name="DDR stress test file" sheetId="7" r:id="rId10"/>
  </sheets>
  <definedNames>
    <definedName name="BusWidth">'Register Configuration'!$AC$4:$AC$5</definedName>
    <definedName name="DDRTypes">'Register Configuration'!$AA$4:$AA$6</definedName>
    <definedName name="RowBankInterleavingOption">'Register Configuration'!$AA$9:$AA$10</definedName>
  </definedNames>
  <calcPr/>
  <extLst>
    <ext uri="GoogleSheetsCustomDataVersion1">
      <go:sheetsCustomData xmlns:go="http://customooxmlschemas.google.com/" r:id="rId11" roundtripDataSignature="AMtx7mhub95OA99jtkj9WL3YRcbKoDH94A=="/>
    </ext>
  </extLst>
</workbook>
</file>

<file path=xl/sharedStrings.xml><?xml version="1.0" encoding="utf-8"?>
<sst xmlns="http://schemas.openxmlformats.org/spreadsheetml/2006/main" count="2405" uniqueCount="1299">
  <si>
    <t>How to use the DRAM register programming aid outline</t>
  </si>
  <si>
    <t>Step 1. Obtain the desired DRAM data sheet from the DRAM vendor</t>
  </si>
  <si>
    <r>
      <rPr>
        <rFont val="Calibri"/>
        <color theme="1"/>
        <sz val="11.0"/>
      </rPr>
      <t>The following are to be completed in the "</t>
    </r>
    <r>
      <rPr>
        <rFont val="Calibri"/>
        <i/>
        <color theme="1"/>
        <sz val="11.0"/>
      </rPr>
      <t>Register Configuration"</t>
    </r>
    <r>
      <rPr>
        <rFont val="Calibri"/>
        <color theme="1"/>
        <sz val="11.0"/>
      </rPr>
      <t xml:space="preserve"> Worksheet tab.</t>
    </r>
  </si>
  <si>
    <t xml:space="preserve">Step 2. Update the Device Information table to include the DRAM information and system usage </t>
  </si>
  <si>
    <t>Step 3. Go through the various shaded cells in the spread sheet to update with data from the DRAM sheet (take special note of the “Legend” table to ascertain the meaning of different shaded cells; in many cases, the cells may not need to be updated).</t>
  </si>
  <si>
    <t>Step 4. Go to the BoardDataBusConfig tab and correctly fill out the MX8 data bus mapping to the memory device.  The user should take special care to ensure this worksheet is configured correctly or else the LPDDR4 system may not work properly.</t>
  </si>
  <si>
    <t>Note: changes to the Register Configuration and BoardDataBusConfig worksheets are automatically updated in the DDR stress test file worksheet tab described next.</t>
  </si>
  <si>
    <t xml:space="preserve">Step 5. The final worksheet tab "DDR stress test file" is the output of the RPA and represents the DRAM initialization for use with the DDR Stress Test.  To create a DDR Stress Test script, the user must copy the contents in this worksheet tab and paste it to a text document, naming the document with the “.ds” file extension.  The user will later select this file when executing the DDR stress test.  
It is important that the user must make sure to copy all of the contents from the DDR stress test file worksheet tab.  One recommended method to ensure that all of the contents are selected before copying is to click on the arrow in the upper left hand corner of this sheet between row 1 and column A as shown below.    
</t>
  </si>
  <si>
    <t>See additional note below.</t>
  </si>
  <si>
    <t>#      Note, though the extension of this file implies use with the DS5 debugger,</t>
  </si>
  <si>
    <t xml:space="preserve">#      the file is meant specifically for the DDR Stress Test GUI tool. </t>
  </si>
  <si>
    <t>#      It contains data commands which are not compatible with the DS5 debugger,</t>
  </si>
  <si>
    <t>#      trying to use this file with DS5 will result in errors.</t>
  </si>
  <si>
    <t>#      There are currently no plans to create a DS5 JTAG DRAM initialization script.</t>
  </si>
  <si>
    <t>Latest Version Number</t>
  </si>
  <si>
    <t>Updated ds file for the case when setpoint is different than 3</t>
  </si>
  <si>
    <t>Revision History</t>
  </si>
  <si>
    <t>Version number
(Highest to Lowest)</t>
  </si>
  <si>
    <t>Details:</t>
  </si>
  <si>
    <t>Corrected formula for calculation of tRTP in cell D122</t>
  </si>
  <si>
    <t>* Migrate DDRFW to VER2020.06
* Optimize performance setting</t>
  </si>
  <si>
    <t>-Added inline ECC configuration worksheets for binary-aligned and non-binary-aligned LPDDR4 densities
-Updated ADDRMAP6.LPDDR4_6gb_12gb_24gb to account for 3Gb densities
-Fixed various other ADDRMAP registers for proper calculations</t>
  </si>
  <si>
    <t>Set RFSHCTL0.refresh_burst=0 for all frequency points</t>
  </si>
  <si>
    <t>Initial, based on m845 RPA</t>
  </si>
  <si>
    <t xml:space="preserve">i.MX8MP (m865) DDR Controller Configuration Spreadsheet </t>
  </si>
  <si>
    <t>This tool is configured to work with (enter board name):</t>
  </si>
  <si>
    <t>NXP LPDDR4 EVK board</t>
  </si>
  <si>
    <t>LPDDR2</t>
  </si>
  <si>
    <t>LPDDR3</t>
  </si>
  <si>
    <t>Instructions</t>
  </si>
  <si>
    <t>Legend</t>
  </si>
  <si>
    <t>DDR3</t>
  </si>
  <si>
    <t xml:space="preserve">Shaded cells may require updating per the DRAM memory data sheet parameters. Certain registers should not need to be modified by the user. If a register is not provided then it is assumed this parameter is not to be changed per the provided initialization script.Certain registers are provided though they may be noted as recommended to not change. </t>
  </si>
  <si>
    <t>On Register Configuration Tab, this color indicates the bitfields that would commonly require updating.</t>
  </si>
  <si>
    <t>LPDDR4</t>
  </si>
  <si>
    <t>DDR4</t>
  </si>
  <si>
    <t>On Register Configuration Tab, this color indicates the bitfields that may be updated, but should typically not require it.</t>
  </si>
  <si>
    <t>ENABLED</t>
  </si>
  <si>
    <t>DISABLED</t>
  </si>
  <si>
    <t>On Register Configuration Tab, this color indicates the bitfields that are updated automatically from setting provided in the "Device Information" table or other cells, and should not be changed manually</t>
  </si>
  <si>
    <t>Automatically Updated Setting</t>
  </si>
  <si>
    <t>On Register Configuration Tab, an unshaded cell means that the value should remain as is and should not be modified. In these cases, the settings are provided for completeness.</t>
  </si>
  <si>
    <t>On other tabs, this color indicates the cells that are affected by changes on the Register Configuration tab.</t>
  </si>
  <si>
    <t>Device Information</t>
  </si>
  <si>
    <r>
      <rPr>
        <rFont val="Calibri"/>
        <b/>
        <color theme="1"/>
        <sz val="11.0"/>
      </rPr>
      <t xml:space="preserve">Number of frequency setpoints
</t>
    </r>
    <r>
      <rPr>
        <rFont val="Calibri"/>
        <b val="0"/>
        <color theme="1"/>
        <sz val="11.0"/>
      </rPr>
      <t>This setting allows the user to select the number of frequency setpoints to include for the Hardware Fast Frequency Change.
Note: if FREQ1 is set to 334, then only 2 setpoints are allowed.</t>
    </r>
  </si>
  <si>
    <r>
      <rPr>
        <rFont val="Calibri"/>
        <b/>
        <color theme="1"/>
        <sz val="11.0"/>
      </rPr>
      <t xml:space="preserve">Enable/disable 2D training
</t>
    </r>
    <r>
      <rPr>
        <rFont val="Calibri"/>
        <b val="0"/>
        <color theme="1"/>
        <sz val="11.0"/>
      </rPr>
      <t>This setting allows user to enable (1) or disable (0) 2D training.</t>
    </r>
  </si>
  <si>
    <r>
      <rPr>
        <rFont val="Arial"/>
        <b/>
        <color theme="1"/>
        <sz val="10.0"/>
      </rPr>
      <t>Enable/
disable DBI</t>
    </r>
    <r>
      <rPr>
        <rFont val="Arial"/>
        <color theme="1"/>
        <sz val="10.0"/>
      </rPr>
      <t xml:space="preserve">
This setting allows the user to enable or disable the DBI feature.</t>
    </r>
  </si>
  <si>
    <r>
      <rPr>
        <rFont val="Arial"/>
        <b/>
        <color theme="1"/>
        <sz val="10.0"/>
      </rPr>
      <t>Enable/Disable Shared ZQ resistor</t>
    </r>
    <r>
      <rPr>
        <rFont val="Arial"/>
        <color theme="1"/>
        <sz val="10.0"/>
      </rPr>
      <t xml:space="preserve">
Enabled: Denotes that ZQ resistor is shared between ranks.
Means ZQinit/ZQCL/ZQCS/MPC(ZQ calibration)
commands are sent to one rank at a time with
tZQinit/tZQCL/tZQCS/tZQCAL/tZQLAT timing met
between commands so that commands to different ranks
do not overlap.
Disabled: ZQ resistor is not shared.
This should be left disabled unless the board shares one ZQ resistor across ranks.</t>
    </r>
  </si>
  <si>
    <t>Memory type:</t>
  </si>
  <si>
    <t>Manufacturer:</t>
  </si>
  <si>
    <t>Foresee</t>
  </si>
  <si>
    <t>Memory part number:</t>
  </si>
  <si>
    <t>FEPRF6432-58A1930</t>
  </si>
  <si>
    <r>
      <rPr>
        <rFont val="Arial"/>
        <color theme="1"/>
        <sz val="10.0"/>
      </rPr>
      <t>Density per channel per chip select (Gb)</t>
    </r>
    <r>
      <rPr>
        <rFont val="Arial"/>
        <color theme="1"/>
        <sz val="10.0"/>
        <vertAlign val="superscript"/>
      </rPr>
      <t>1</t>
    </r>
    <r>
      <rPr>
        <rFont val="Arial"/>
        <color theme="1"/>
        <sz val="10.0"/>
      </rPr>
      <t>:</t>
    </r>
  </si>
  <si>
    <t xml:space="preserve">Number of Channels </t>
  </si>
  <si>
    <r>
      <rPr>
        <rFont val="Arial"/>
        <color theme="1"/>
        <sz val="10.0"/>
      </rPr>
      <t>Number of Chip Selects used</t>
    </r>
    <r>
      <rPr>
        <rFont val="Arial"/>
        <color theme="1"/>
        <sz val="10.0"/>
        <vertAlign val="superscript"/>
      </rPr>
      <t>2</t>
    </r>
  </si>
  <si>
    <t>Total DRAM density (Gb)</t>
  </si>
  <si>
    <r>
      <rPr>
        <rFont val="Arial"/>
        <color theme="1"/>
        <sz val="10.0"/>
      </rPr>
      <t>Number of ROW Addresses</t>
    </r>
    <r>
      <rPr>
        <rFont val="Arial"/>
        <color theme="1"/>
        <sz val="10.0"/>
        <vertAlign val="superscript"/>
      </rPr>
      <t>2</t>
    </r>
  </si>
  <si>
    <r>
      <rPr>
        <rFont val="Arial"/>
        <color theme="1"/>
        <sz val="10.0"/>
      </rPr>
      <t>Number of COLUMN Addresses</t>
    </r>
    <r>
      <rPr>
        <rFont val="Arial"/>
        <color theme="1"/>
        <sz val="10.0"/>
        <vertAlign val="superscript"/>
      </rPr>
      <t>2</t>
    </r>
  </si>
  <si>
    <r>
      <rPr>
        <rFont val="Arial"/>
        <color theme="1"/>
        <sz val="10.0"/>
      </rPr>
      <t>Number of BANK addresses</t>
    </r>
    <r>
      <rPr>
        <rFont val="Arial"/>
        <color theme="1"/>
        <sz val="10.0"/>
        <vertAlign val="superscript"/>
      </rPr>
      <t>2</t>
    </r>
  </si>
  <si>
    <t>If in-line ECC is enabled, go to ECC_Config worksheet to configure ECC options</t>
  </si>
  <si>
    <r>
      <rPr>
        <rFont val="Arial"/>
        <color theme="1"/>
        <sz val="10.0"/>
      </rPr>
      <t>Number of BANKS</t>
    </r>
    <r>
      <rPr>
        <rFont val="Arial"/>
        <color theme="1"/>
        <sz val="10.0"/>
        <vertAlign val="superscript"/>
      </rPr>
      <t>2</t>
    </r>
  </si>
  <si>
    <t>Inline ECC</t>
  </si>
  <si>
    <t xml:space="preserve">Bus Width </t>
  </si>
  <si>
    <r>
      <rPr>
        <rFont val="Arial"/>
        <color theme="1"/>
        <sz val="10.0"/>
      </rPr>
      <t>Clock Cycle Freq (MHz)</t>
    </r>
    <r>
      <rPr>
        <rFont val="Arial"/>
        <color theme="1"/>
        <sz val="10.0"/>
        <vertAlign val="superscript"/>
      </rPr>
      <t>3</t>
    </r>
  </si>
  <si>
    <t>Clock Cycle Time (ns)</t>
  </si>
  <si>
    <r>
      <rPr>
        <rFont val="Arial"/>
        <b/>
        <color theme="1"/>
        <sz val="10.0"/>
      </rPr>
      <t>Debug UART port</t>
    </r>
    <r>
      <rPr>
        <rFont val="Arial"/>
        <color theme="1"/>
        <sz val="10.0"/>
      </rPr>
      <t xml:space="preserve">
Assumes use UART pad for UART function, not mux'd on other pads</t>
    </r>
  </si>
  <si>
    <r>
      <rPr>
        <rFont val="Arial"/>
        <b/>
        <color theme="1"/>
        <sz val="10.0"/>
      </rPr>
      <t>LPDDR4 MR4 manual de-rate workaround - Temperature Derating Options for errata e50125</t>
    </r>
    <r>
      <rPr>
        <rFont val="Arial"/>
        <color theme="1"/>
        <sz val="10.0"/>
      </rPr>
      <t xml:space="preserve">
The auto derate logic of the DDR controller only samples the LPDDR4 MR4 register when the Temperature Update Flag (TUF) field (MR4[7] ) is 1’b1. If the LPDDR4 memory is initialized and starts operation above 85ºC (MR4[2:0] &gt; 3'b011), the MR4 TUF will not set and the DDR Controller will not automatically adjust the memory refresh rate or de-rate memory timings based on the LPDDR4 memory temperature.  If the LPDDR4 memory temperature remains below 85ºC at initialization, then the derating logic works as intended, automatically adjusting the memory refresh period and memory timing during the entire system operation
Three options to choose from:
</t>
    </r>
    <r>
      <rPr>
        <rFont val="Arial"/>
        <b/>
        <color theme="1"/>
        <sz val="10.0"/>
        <u/>
      </rPr>
      <t>Automatic:</t>
    </r>
    <r>
      <rPr>
        <rFont val="Arial"/>
        <color theme="1"/>
        <sz val="10.0"/>
      </rPr>
      <t xml:space="preserve"> this is the default and enables auto derating
</t>
    </r>
    <r>
      <rPr>
        <rFont val="Arial"/>
        <b/>
        <color theme="1"/>
        <sz val="10.0"/>
        <u/>
      </rPr>
      <t>Option 1:</t>
    </r>
    <r>
      <rPr>
        <rFont val="Arial"/>
        <color theme="1"/>
        <sz val="10.0"/>
      </rPr>
      <t xml:space="preserve"> disables auto derating and increases auto refresh x2; typically used for industrial temperature grade LPDDR4
</t>
    </r>
    <r>
      <rPr>
        <rFont val="Arial"/>
        <b/>
        <color theme="1"/>
        <sz val="10.0"/>
        <u/>
      </rPr>
      <t>Option 2:</t>
    </r>
    <r>
      <rPr>
        <rFont val="Arial"/>
        <color theme="1"/>
        <sz val="10.0"/>
      </rPr>
      <t xml:space="preserve"> disables auto derating and applies maximum auto refresh (x4) along with derating specific timings (tRCD, tRAS, tRC, tRP, tRRD), typically used for automotive temperature grade LPDDR4
For option 1 and 2, it is highly recommended to consult with your DRAM vendor on supported temperature grades.</t>
    </r>
  </si>
  <si>
    <t>FREQ1 setpoint Clock Cycle Freq (MHz)</t>
  </si>
  <si>
    <t>FREQ1 Clock Cycle Time (ns)</t>
  </si>
  <si>
    <t>FREQ2 setpoint Clock Cycle Freq (MHz)</t>
  </si>
  <si>
    <t>FREQ2 Clock Cycle Time (ns)</t>
  </si>
  <si>
    <t>DDRC0 Base Address (do not modify)</t>
  </si>
  <si>
    <t>3D400000</t>
  </si>
  <si>
    <t>DDRC0 FREQ1 Base Address (do not modify)</t>
  </si>
  <si>
    <t>3D402000</t>
  </si>
  <si>
    <t>DDRC0 FREQ2 Base Address (do not modify)</t>
  </si>
  <si>
    <t>3D403000</t>
  </si>
  <si>
    <t>1. Important: it is necessary to populate this field with the density in Gbits as it is used in later calculations. Input the density per channel per chip select.</t>
  </si>
  <si>
    <t>2. Important, these fields need to be filled out correctly as these values are used later in this tool for register settings.</t>
  </si>
  <si>
    <t>Automatic</t>
  </si>
  <si>
    <t>3. Even though i.MX8 runs at 1.596GHz, set timings according to 1.6GHz to allow for a little more margin</t>
  </si>
  <si>
    <t>DDRC Control Parameter</t>
  </si>
  <si>
    <t>N/A</t>
  </si>
  <si>
    <t>control bit setting (decimal)</t>
  </si>
  <si>
    <t>bit setting within register</t>
  </si>
  <si>
    <t>Notes</t>
  </si>
  <si>
    <t>Register name</t>
  </si>
  <si>
    <t>DDRC0 Register address</t>
  </si>
  <si>
    <t>Register value (HEX)</t>
  </si>
  <si>
    <t>DEVICE_CONFIG</t>
  </si>
  <si>
    <t>-</t>
  </si>
  <si>
    <t>Indicates the configuration of the device used in the system.
■ 10 - x16 device 
■ 11 - x32 device
For LPDDR4, setting this to 10 or 11 has no affect, so set to 10 to align with validation setting.</t>
  </si>
  <si>
    <t>DDRC_MSTR</t>
  </si>
  <si>
    <t>FREQUENCY_MODE</t>
  </si>
  <si>
    <t xml:space="preserve">Choose which registers are used.
■ 0 - Original registers 
■ 1 - Shadow registers </t>
  </si>
  <si>
    <t>ACTIVE_RANKS</t>
  </si>
  <si>
    <r>
      <rPr>
        <rFont val="Arial"/>
        <b/>
        <color theme="1"/>
        <sz val="10.0"/>
      </rPr>
      <t>Note, this information is automatically obtained from the Device Information table above.</t>
    </r>
    <r>
      <rPr>
        <rFont val="Arial"/>
        <color theme="1"/>
        <sz val="10.0"/>
      </rPr>
      <t xml:space="preserve">
Description: Maps the Chip Selects in use.
Only the following bit configurations are legal:
■ 01 - for one rank (CS0 populated)
■ 11 - for two ranks (CS1 and CS0 populated)
Value After Reset: 0x3</t>
    </r>
  </si>
  <si>
    <t>BURST_RDWR</t>
  </si>
  <si>
    <r>
      <rPr>
        <rFont val="Arial"/>
        <color theme="1"/>
        <sz val="10.0"/>
      </rPr>
      <t xml:space="preserve">Description: SDRAM burst length used:
■0001 - Reserved.
</t>
    </r>
    <r>
      <rPr>
        <rFont val="Arial"/>
        <b/>
        <color theme="1"/>
        <sz val="10.0"/>
      </rPr>
      <t>■0010 - Burst length of 4 (recommended for LPDDR2)</t>
    </r>
    <r>
      <rPr>
        <rFont val="Arial"/>
        <color theme="1"/>
        <sz val="10.0"/>
      </rPr>
      <t xml:space="preserve">
■</t>
    </r>
    <r>
      <rPr>
        <rFont val="Arial"/>
        <b/>
        <color theme="1"/>
        <sz val="10.0"/>
      </rPr>
      <t>0100 - Burst length of 8 (recommended for DDR4/DDR3/LPDDR3)</t>
    </r>
    <r>
      <rPr>
        <rFont val="Arial"/>
        <color theme="1"/>
        <sz val="10.0"/>
      </rPr>
      <t xml:space="preserve">
■</t>
    </r>
    <r>
      <rPr>
        <rFont val="Arial"/>
        <b/>
        <color theme="1"/>
        <sz val="10.0"/>
      </rPr>
      <t>1000 - Burst length of 16 (recommended for LPDDR4)</t>
    </r>
    <r>
      <rPr>
        <rFont val="Arial"/>
        <color theme="1"/>
        <sz val="10.0"/>
      </rPr>
      <t xml:space="preserve">
All other values are reserved.
This controls the burst size used to access the SDRAM. This must match the burst length mode register setting in the SDRAM. 
Value After Reset: 0x4</t>
    </r>
  </si>
  <si>
    <t>DLL_OFF_MODE</t>
  </si>
  <si>
    <t>Description: Set to 1 when the uMCTL2 and DRAM has to be put in DLL-off mode for low frequency operation.
Set to 0 to put uMCTL2 and DRAM in DLL-on mode for normal frequency operation.
Value After Reset: 0x0</t>
  </si>
  <si>
    <t>DATA_BUS_WIDTH</t>
  </si>
  <si>
    <t>Description: Selects proportion of DQ bus width that is used by the SDRAM
■00 - Full DQ bus width to SDRAM 
■01 - Half DQ bus width to SDRAM
(The following bit settings are not implmented in this design)
■10 - Quarter DQ bus width to SDRAM
■11 - Reserved.
Value After Reset: 0x0</t>
  </si>
  <si>
    <t>BURSTCHOP</t>
  </si>
  <si>
    <t>Description: When set, enable burst-chop in DDR3/DDR4. This is only supported in AXI bus configurations (UMCTL2_INCL_ARB not set) using full bus width mode (MSTR.data_bus_width = 00).
■ 0 - Disabled.
■ 1 - Burst-Chop enabled.
Value After Reset: 0x0</t>
  </si>
  <si>
    <t>BURST_MODE</t>
  </si>
  <si>
    <t>Description: Indicates burst mode.
0 - Sequential burst mode
1 - Interleaved burst mode (not supported in current design)
Value After Reset: 0x0</t>
  </si>
  <si>
    <r>
      <rPr>
        <rFont val="Arial"/>
        <b/>
        <color theme="1"/>
        <sz val="10.0"/>
      </rPr>
      <t>Note, this information is automatically obtained from the Device Information table above.</t>
    </r>
    <r>
      <rPr>
        <rFont val="Arial"/>
        <color theme="1"/>
        <sz val="10.0"/>
      </rPr>
      <t xml:space="preserve">
Description: Select LPDDR4 SDRAM
■1 - LPDDR4 SDRAM device in use.
■0 - non-LPDDR4 device in use
Present only in designs configured to support LPDDR4.
Value After Reset: 0x0</t>
    </r>
  </si>
  <si>
    <r>
      <rPr>
        <rFont val="Arial"/>
        <b/>
        <color theme="1"/>
        <sz val="10.0"/>
      </rPr>
      <t>Note, this information is automatically obtained from the Device Information table above.</t>
    </r>
    <r>
      <rPr>
        <rFont val="Arial"/>
        <color theme="1"/>
        <sz val="10.0"/>
      </rPr>
      <t xml:space="preserve">
Description: Select DDR4 SDRAM
■1 - DDR4 SDRAM device in use.
■0 - non-DDR4 device in use
Present only in designs configured to support DDR4.
Value After Reset: 0x0</t>
    </r>
  </si>
  <si>
    <r>
      <rPr>
        <rFont val="Arial"/>
        <b/>
        <color theme="1"/>
        <sz val="10.0"/>
      </rPr>
      <t>Note, this information is automatically obtained from the Device Information table above.</t>
    </r>
    <r>
      <rPr>
        <rFont val="Arial"/>
        <color theme="1"/>
        <sz val="10.0"/>
      </rPr>
      <t xml:space="preserve">
Description: Select LPDDR3 SDRAM
■1 - LPDDR3 SDRAM device in use.
■0 - non-LPDDR3 device in use
Present only in designs configured to support LPDDR3.
Value After Reset: 0x0</t>
    </r>
  </si>
  <si>
    <r>
      <rPr>
        <rFont val="Arial"/>
        <b/>
        <color theme="1"/>
        <sz val="10.0"/>
      </rPr>
      <t>Note, this information is automatically obtained from the Device Information table above</t>
    </r>
    <r>
      <rPr>
        <rFont val="Arial"/>
        <color theme="1"/>
        <sz val="10.0"/>
      </rPr>
      <t>.
Description: Select LPDDR2 SDRAM
■1 - LPDDR2 SDRAM device in use.
■0 - non-LPDDR2 device in use
Present only in designs configured to support LPDDR2.
Value After Reset: 0x0</t>
    </r>
  </si>
  <si>
    <r>
      <rPr>
        <rFont val="Arial"/>
        <b/>
        <color theme="1"/>
        <sz val="10.0"/>
      </rPr>
      <t>Note, this information is automatically obtained from the Device Information table above.</t>
    </r>
    <r>
      <rPr>
        <rFont val="Arial"/>
        <color theme="1"/>
        <sz val="10.0"/>
      </rPr>
      <t xml:space="preserve">
Description: Select DDR3 SDRAM
■1 - DDR3 SDRAM device in use
■0 - non-DDR3 SDRAM device in use
Only present in designs that support DDR3.
Value After Reset: (MEMC_DDR3==1) ? 0x1 : 0x0</t>
    </r>
  </si>
  <si>
    <t>target_frequency</t>
  </si>
  <si>
    <t>Set to 0x0 during initialization.
If MSTR.frequency_mode=1, this field specifies the target frequency.
■0 - Frequency 0/Normal
■1 - Frequency 1/FREQ1
■2 - Frequency 2/FREQ2
■3 - Frequency 3/FREQ3
If MSTR.frequency_mode=0, this field is ignored.
Note: If the target frequency can be changed through Hardware Low Power Interface only, this field is not needed.
Value After Reset: 0x1</t>
  </si>
  <si>
    <t>DDRC_MSTR2</t>
  </si>
  <si>
    <t>The following ADDRMAP registers are automatically updated from the Device Information table above and should NOT be manually changed.</t>
  </si>
  <si>
    <t>ADDRMAP_CS_BIT1</t>
  </si>
  <si>
    <t>Reserved for future use. Set to zero as these bits are not write-able in this design.
Value After Reset: 0x0</t>
  </si>
  <si>
    <t>DDRC_ADDRMAP0</t>
  </si>
  <si>
    <t>ADDRMAP_CS_BIT0</t>
  </si>
  <si>
    <t>Description: Selects the HIF address bit used as rank address bit 0.
Valid Range: 0 to 27, and 31
Internal Base: 6
The selected HIF address bit is determined by adding the internal base to the value of this field.
If set to 31, rank address bit 0 is set to 0.
Value After Reset: 0x0</t>
  </si>
  <si>
    <t>ADDRMAP_BANK_B2</t>
  </si>
  <si>
    <t>Description: Selects the HIF address bit used as bank address bit 2.
Valid Range: 0 to 29 and 31
Internal Base: 4
The selected HIF address bit is determined by adding the internal base to the value of this field.
If set to 31, bank address bit 2 is set to 0.
Value After Reset: 0x0</t>
  </si>
  <si>
    <t>DDRC_ADDRMAP1</t>
  </si>
  <si>
    <t>ADDRMAP_BANK_B1</t>
  </si>
  <si>
    <t>Description: Selects the HIF address bits used as bank address bit 1.
Valid Range: 0 to 30
Internal Base: 3
The selected HIF address bit for each of the bank address bits is determined by adding the internal base to the value of this field.
Value After Reset: 0x0</t>
  </si>
  <si>
    <t>ADDRMAP_BANK_B0</t>
  </si>
  <si>
    <t>Description: Selects the HIF address bits used as bank address bit 0.
Valid Range: 0 to 30
Internal Base: 2
The selected HIF address bit for each of the bank address bits is determined by adding the internal base to the value of this field.
Value After Reset: 0x0</t>
  </si>
  <si>
    <t>ADDRMAP_COL_B9</t>
  </si>
  <si>
    <t>■Full bus width mode: Selects the HIF address bit used as column address bit 9.
■Half bus width mode: Selects the HIF address bit used as column address bit 11 (10 in LPDDR2/LPDDR3 mode).
■Quarter bus width mode: Selects the HIF address bit used as column address bit 13 (11 in LPDDR2/LPDDR3 mode).
Valid Range: 0 to 7, x, and 31. x indicate a valid value in inline ECC configuration.
Internal Base: 9
The selected HIF address bit is determined by adding the internal base to the value of this field.
If unused, set to 31 and then this column address bit is set to 0.
Note: Per JEDEC DDR2/3/mDDR specification, column address bit 10 is reserved for indicating auto-precharge, and hence no source address bit can be mapped to column address bit 10.
In LPDDR2/LPDDR3, there is a dedicated bit for auto-precharge in the CA bus and hence column bit 10 is used.
In Inline ECC configuration (MEMC_INLINE_ECC=1) and ECC is enabled (ECCCFG0.ecc_mode&gt;0), the highest 3 column address bits must map to the highest 3 valid HIF address bits.
If column bit 9 is the highest column address bit, it must map to the highest valid HIF address bit. (x = the highest valid HIF address bit - internal base)
If column bit 9 is the second highest column address bit, it must map to the second highest valid HIF address bit. (x = the highest valid HIF address bit - 1 - internal base)
If column bit 9 is the third highest column address bit, it must map to the third highest valid HIF address bit. (x = the highest valid HIF address bit - 2 - internal base)
if it is unused, set to 31.</t>
  </si>
  <si>
    <t>DDRC_ADDRMAP3</t>
  </si>
  <si>
    <t>ADDRMAP_COL_B8</t>
  </si>
  <si>
    <t>■Full bus width mode: Selects the HIF address bit used as column address bit 8.
■Half bus width mode: Selects the HIF address bit used as column address bit 9.
■Quarter bus width mode: Selects the HIF address bit used as column address bit 11 (10 in LPDDR2/LPDDR3 mode).
Valid Range: 0 to 7, x, and 31. x indicate a valid value in inline ECC configuration.
Internal Base: 8
The selected HIF address bit is determined by adding the internal base to the value of this field.
If unused, set to 31 and then this column address bit is set to 0.
Note: Per JEDEC DDR2/3/mDDR specification, column address bit 10 is reserved for indicating auto-precharge, and hence no source address bit can be mapped to column address bit 10.
In LPDDR2/LPDDR3, there is a dedicated bit for auto-precharge in the CA bus and hence column bit 10 is used.
In Inline ECC configuration (MEMC_INLINE_ECC=1) and ECC is enabled (ECCCFG0.ecc_mode&gt;0), the highest 3 column address bits must map to the highest 3 valid HIF address bits.
If column bit 8 is the second highest column address bit, it must map to the second highest valid HIF address bit. (x = the highest valid HIF address bit - 1 - internal base)
If column bit 8 is the third highest column address bit, it must map to the third highest valid HIF address bit. (x = the highest valid HIF address bit - 2 - internal base)
if it is unused, set to 31.</t>
  </si>
  <si>
    <t>ADDRMAP_COL_B7</t>
  </si>
  <si>
    <t>■Full bus width mode: Selects the HIF address bit used as column address bit 7.
■Half bus width mode: Selects the HIF address bit used as column address bit 8.
■Quarter bus width mode: Selects the HIF address bit used as column address bit 9.
Valid Range: 0 to 7, x, and 31. x indicate a valid value in inline ECC configuration.
Internal Base: 7
The selected HIF address bit is determined by adding the internal base to the value of this field. If unused, set to 31 and then this column address bit is set to 0.
In Inline ECC configuration (MEMC_INLINE_ECC=1) and ECC is enabled (ECCCFG0.ecc_mode&gt;0), the highest 3 column address bits must map to the highest 3 valid HIF address bits.
If column bit 7 is the third highest column address bit, it must map to the third highest valid HIF address bit. (x = the highest valid HIF address bit - 2 - internal base)
if it is unused, set to 31.</t>
  </si>
  <si>
    <t>ADDRMAP_COL_B6</t>
  </si>
  <si>
    <t>Description:
• Full bus width mode: Selects the HIF address bit used as column address bit 6.
• Half bus width mode: Selects the HIF address bit used as column address bit 7.
• Quarter bus width mode: Selects the HIF address bit used as column address bit 8.
Valid Range: 0 to 7, and 15
Internal Base: 6
The selected HIF address bit is determined by adding the internal base to the value of this field. If set to
15, this column address bit is set to 0.
Value After Reset: 0x0</t>
  </si>
  <si>
    <t>ADDRMAP_COL_B11</t>
  </si>
  <si>
    <r>
      <rPr>
        <rFont val="Arial"/>
        <color theme="1"/>
        <sz val="10.0"/>
      </rPr>
      <t xml:space="preserve">Description: Selects the HIF address bit used as column address bit 11.
Valid Range: 0 to 7 and 15
Internal Base: 11
The selected HIF address bit is determined by adding the internal base to the value of this field.
If set to 15, column address bit 11 is set to 0.
Value After Reset: 0x0
</t>
    </r>
    <r>
      <rPr>
        <rFont val="Arial"/>
        <b/>
        <color theme="1"/>
        <sz val="10.0"/>
      </rPr>
      <t>NOTE, documentation may be wrong. Per designer, RTL says this is a 5-bit field and to disable, must set to 0x1F.</t>
    </r>
  </si>
  <si>
    <t>DDRC_ADDRMAP4</t>
  </si>
  <si>
    <t>ADDRMAP_COL_B10</t>
  </si>
  <si>
    <r>
      <rPr>
        <rFont val="Arial"/>
        <color theme="1"/>
        <sz val="10.0"/>
      </rPr>
      <t xml:space="preserve">Description: Selects the HIF address bit used as column address bit 10.
Valid Range: 0 to 7 and 15
Internal Base: 10
The selected HIF address bit is determined by adding the internal base to the value of this field.
If set to 15, bank column bit 10 is set to 0.
Value After Reset: 0x0
</t>
    </r>
    <r>
      <rPr>
        <rFont val="Arial"/>
        <b/>
        <color theme="1"/>
        <sz val="10.0"/>
      </rPr>
      <t>NOTE, documentation may be wrong. Per designer, RTL says this is a 5-bit field and to disable, must set to 0x1F.</t>
    </r>
  </si>
  <si>
    <t>ADDRMAP_ROW_B11</t>
  </si>
  <si>
    <t>Description: Selects the HIF address bit used as row address bit 11.
Valid Range: 0 to 11, and 15
Internal Base: 17
The selected HIF address bit is determined by adding the internal base to the value of this field.
If set to 15, row address bit 11 is set to 0.
Value After Reset: 0x0</t>
  </si>
  <si>
    <t>DDRC_ADDRMAP5</t>
  </si>
  <si>
    <t>ADDRMAP_ROW_B2_10</t>
  </si>
  <si>
    <t>Description: Selects the HIF address bits used as row address bits 2 to 10.
Valid Range: 0 to 11
Internal Base: 8 (for row address bit 2), 9 (for row address bit 3), 10 (for row address bit 4) and so on, increasing to 16 (for row address bit 10)
The selected HIF address bit for each of the row address bits is determined by adding the internal base to the value of this field.
Value After Reset: 0x0</t>
  </si>
  <si>
    <t>ADDRMAP_ROW_B1</t>
  </si>
  <si>
    <t>Description: Selects the HIF address bits used as row address bit 1.
Valid Range: 0 to 11
Internal Base: 7
The selected HIF address bit for each of the row address bits is determined by adding the internal base to the value of this field.
Value After Reset: 0x0</t>
  </si>
  <si>
    <t>ADDRMAP_ROW_B0</t>
  </si>
  <si>
    <t>Description: Selects the HIF address bits used as row address bit 0.
Valid Range: 0 to 11
Internal Base: 6
The selected HIF address bit for each of the row address bits is determined by adding the internal base to the value of this field.
Value After Reset: 0x0</t>
  </si>
  <si>
    <t>LPDDR4_6gb_12gb_24gb</t>
  </si>
  <si>
    <r>
      <rPr>
        <rFont val="Arial"/>
        <color theme="1"/>
        <sz val="10.0"/>
      </rPr>
      <t xml:space="preserve">Indicates what type of LPDDR4 SDRAM device is in use. Per Rank
</t>
    </r>
    <r>
      <rPr>
        <rFont val="Segoe UI Symbol"/>
        <color theme="1"/>
        <sz val="10.0"/>
      </rPr>
      <t>■</t>
    </r>
    <r>
      <rPr>
        <rFont val="Arial"/>
        <color theme="1"/>
        <sz val="10.0"/>
      </rPr>
      <t xml:space="preserve"> 2'b00: No LPDDR4 SDRAM 6Gb/12Gb/24Gb device in
use. All addresses are valid
</t>
    </r>
    <r>
      <rPr>
        <rFont val="Segoe UI Symbol"/>
        <color theme="1"/>
        <sz val="10.0"/>
      </rPr>
      <t>■</t>
    </r>
    <r>
      <rPr>
        <rFont val="Arial"/>
        <color theme="1"/>
        <sz val="10.0"/>
      </rPr>
      <t xml:space="preserve"> 2'b01: LPDDR4 SDRAM 3Gb device in use. Every
address having row[14:13]==2'b11 is considered as
invalid
</t>
    </r>
    <r>
      <rPr>
        <rFont val="Segoe UI Symbol"/>
        <color theme="1"/>
        <sz val="10.0"/>
      </rPr>
      <t>■</t>
    </r>
    <r>
      <rPr>
        <rFont val="Arial"/>
        <color theme="1"/>
        <sz val="10.0"/>
      </rPr>
      <t xml:space="preserve"> 2'b10: LPDDR4 SDRAM 6Gb device in use. Every
address having row[15:14]==2'b11 is considered as
invalid
</t>
    </r>
    <r>
      <rPr>
        <rFont val="Segoe UI Symbol"/>
        <color theme="1"/>
        <sz val="10.0"/>
      </rPr>
      <t>■</t>
    </r>
    <r>
      <rPr>
        <rFont val="Arial"/>
        <color theme="1"/>
        <sz val="10.0"/>
      </rPr>
      <t xml:space="preserve"> 2'b11: LPDDR4 SDRAM 12Gb device in use. Every
address having row[16:15]==2'b11 is considered as
invalid
Unsupported
Present only in designs configured to support LPDDR4.</t>
    </r>
  </si>
  <si>
    <t>DDRC_ADDRMAP6</t>
  </si>
  <si>
    <t>ADDRMAP_ROW_B15</t>
  </si>
  <si>
    <t>Description: Selects the HIF address bit used as row address bit 15.
Valid Range: 0 to 11, and 15
Internal Base: 21
The selected HIF address bit is determined by adding the internal base to the value of this field.
If set to 15, row address bit 15 is set to 0.
Value After Reset: 0x0</t>
  </si>
  <si>
    <t>ADDRMAP_ROW_B14</t>
  </si>
  <si>
    <t>Description: Selects the HIF address bit used as row address bit 14.
Valid Range: 0 to 11, and 15
Internal Base: 20
The selected HIF address bit is determined by adding the internal base to the value of this field.
If set to 15, row address bit 14 is set to 0.
Value After Reset: 0x0</t>
  </si>
  <si>
    <t>ADDRMAP_ROW_B13</t>
  </si>
  <si>
    <t>Description: Selects the HIF address bit used as row address bit 13.
Valid Range: 0 to 11, and 15
Internal Base: 19
The selected HIF address bit is determined by adding the internal base to the value of this field.
If set to 15, row address bit 13 is set to 0.
Value After Reset: 0x0</t>
  </si>
  <si>
    <t>ADDRMAP_ROW_B12</t>
  </si>
  <si>
    <t>Description: Selects the HIF address bit used as row address bit 12.
Valid Range: 0 to 11, and 15
Internal Base: 18
The selected HIF address bit is determined by adding the internal base to the value of this field.
If set to 15, row address bit 12 is set to 0.
Value After Reset: 0x0</t>
  </si>
  <si>
    <t>ADDRMAP_ROW_B17</t>
  </si>
  <si>
    <t>Description: Selects the HIF address bit used as row address bit 17.
Valid Range: 0 to 11, and 15
Internal Base: 23
The selected HIF address bit is determined by adding the internal base to the value of this field.
If set to 15, row address bit 17 is set to 0.
Value After Reset: 0x0</t>
  </si>
  <si>
    <t>DDRC_ADDRMAP7</t>
  </si>
  <si>
    <t>ADDRMAP_ROW_B16</t>
  </si>
  <si>
    <t>Description: Selects the HIF address bit used as row address bit 16.
Valid Range: 0 to 11, and 15
Internal Base: 22
The selected HIF address bit is determined by adding the internal base to the value of this field.
If set to 15, row address bit 16 is set to 0.
Value After Reset: 0x0</t>
  </si>
  <si>
    <t>DDRC timing parameter (DDR device timing parameter)</t>
  </si>
  <si>
    <t>value from DDR data sheet (ns)</t>
  </si>
  <si>
    <t>Clock Cycle or Binary Setting</t>
  </si>
  <si>
    <t>DDRC0 Register address (HEX)</t>
  </si>
  <si>
    <t>refresh_margin</t>
  </si>
  <si>
    <t>Threshold value in number of DFI clock cycles before the critical refresh or page timer expires. A critical refresh is to be issued before this threshold is reached. It is recommended that this not be changed from the default value, currently shown as 0x2. It must always be less than internally used t_rfc_nom_x32. Note that, in LPDDR2/LPDDR3/LPDDR4, internally used t_rfc_nom_x32 may be equal to RFSHTMG.t_rfc_nom_x32&gt;&gt;2 if derating is enabled (DERATEEN.derate_enable=1). Otherwise, internally used t_rfc_nom_x32 will be equal to RFSHTMG.t_rfc_nom_x32.
Unit: Multiples of 32 DFI clocks.
Value After Reset: 0x2
Exists: Always</t>
  </si>
  <si>
    <t>DDRC_RFSHCTL0</t>
  </si>
  <si>
    <t>This register configuration is included for future reference and may not be currently used.</t>
  </si>
  <si>
    <t>refresh_to_x32</t>
  </si>
  <si>
    <t>If the refresh timer (tRFCnom, also known as tREFI) has expired at least once, but it has not expired (RFSHCTL0.refresh_burst+1) times yet, then a speculative refresh may be performed. A speculative refresh is a refresh performed at a time when refresh would be useful, but before it is absolutely required. When the SDRAM bus is idle for a period of time determined by this RFSHCTL0.refresh_to_x32 and the refresh timer has expired at least once since the last refresh, then a speculative refresh is performed. Speculative refreshes continues successively until there are no refreshes pending or until new reads or writes are issued to the uMCTL2.
FOR PERFORMANCE ONLY.
Unit: Multiples of 32 DFI clocks.
Value After Reset: 0x10
Exists: Always</t>
  </si>
  <si>
    <t>refresh_burst</t>
  </si>
  <si>
    <t>The programmed value + 1 is the number of refresh timeouts that is allowed to accumulate before traffic is blocked and the refreshes are forced to execute. Closing pages to perform a refresh is a one-time penalty that must be paid for each group of refreshes. Therefore, performing refreshes in a burst reduces the per-refresh penalty of these page closings. Higher numbers for RFSHCTL.refresh_burst slightly increases utilization; lower numbers decreases the worst-case latency associated with refreshes.
■0 - single refresh
■1 - burst-of-2 refresh
■7 - burst-of-8 refresh
For information on burst refresh feature refer to section 3.9 of DDR2 JEDEC specification - JESD79-2F.pdf.
For DDR2/3, the refresh is always per-rank and not per-bank. The rank refresh can be accumulated over 8*tREFI cycles using the burst refresh feature. In DDR4 mode, according to Fine Granularity feature, 8 refreshes can be postponed in 1X mode, 16 refreshes in 2X mode and 32 refreshes in 4X mode. If using PHY-initiated updates, care must be taken in the setting of RFSHCTL0.refresh_burst, to ensure that tRFCmax is not violated due to a PHY-initiated update occurring shortly before a refresh burst was due. In this situation, the refresh burst will be delayed until the PHY-initiated update is complete.
Value After Reset: 0x0
Exists: Always</t>
  </si>
  <si>
    <t>per_bank_refresh</t>
  </si>
  <si>
    <t>■1 - Per bank refresh;
■0 - All bank refresh.
Per bank refresh allows traffic to flow to other banks. Per bank refresh is not supported by all LPDDR2 devices but should be supported by all LPDDR3/LPDDR4 devices. Present only in designs configured to support LPDDR2/LPDDR3/LPDDR4
Value After Reset: 0x0
Exists: MEMC_LPDDR2==1</t>
  </si>
  <si>
    <t>T_RFC_NOM_X32</t>
  </si>
  <si>
    <r>
      <rPr>
        <rFont val="Arial"/>
        <b/>
        <color theme="1"/>
        <sz val="10.0"/>
      </rPr>
      <t>Note, user must supply tREFI (in ns) from the DRAM data sheet, see description for more details.</t>
    </r>
    <r>
      <rPr>
        <rFont val="Arial"/>
        <color theme="1"/>
        <sz val="10.0"/>
      </rPr>
      <t xml:space="preserve">
tREFI: Average time interval between refreshes per rank (Specification: 7.8us for DDR2, DDR3 and DDR4. See JEDEC specification for mDDR, LPDDR2, LPDDR3 and LPDDR4).
For LPDDR2/LPDDR3/LPDDR4:
■if using all-bank refreshes (RFSHCTL0.per_bank_refresh = 0), this register should be set to tREFIab
■if using per-bank refreshes (RFSHCTL0.per_bank_refresh = 1), this register should be set to tREFIpb
When the controller is operating in 1:2 frequency ratio mode, program this to (tREFI/2), no rounding up.
In DDR4 mode, tREFI value is different depending on the refresh mode. The user should program the appropriate value from the spec based on the value programmed in the refresh mode register.
Note that RFSHTMG.t_rfc_nom_x32 * 32 must be greater than RFSHTMG.t_rfc_min, and RFSHTMG.t_rfc_nom_x32 must be greater than 0x1.
■Non-DDR4 or DDR4 Fixed 1x mode: RFSHTMG.t_rfc_nom_x32 must be less than or equal to 0xFFE.
■DDR4 Fixed 2x mode: RFSHTMG.t_rfc_nom_x32 must be less than or equal to 0x7FF.
■DDR4 Fixed 4x mode: RFSHTMG.t_rfc_nom_x32 must be less than or equal to 0x3FF.
Unit: Multiples of 32 clocks.
Value After Reset: 0x62</t>
    </r>
  </si>
  <si>
    <t>DDRC_RFSHTMG</t>
  </si>
  <si>
    <t>Margin added for refresh window.</t>
  </si>
  <si>
    <t>T_RFC_MIN</t>
  </si>
  <si>
    <r>
      <rPr>
        <rFont val="Arial"/>
        <b/>
        <color theme="1"/>
        <sz val="10.0"/>
      </rPr>
      <t>Note, user must supply tRFC (min) (in ns) from the DRAM data sheet</t>
    </r>
    <r>
      <rPr>
        <rFont val="Arial"/>
        <color theme="1"/>
        <sz val="10.0"/>
      </rPr>
      <t xml:space="preserve">
tRFC (min): Minimum time from refresh to refresh or activate.
When the controller is operating in 1:1 mode, t_rfc_min should be set to RoundUp(tRFCmin/tCK).
When the controller is operating in 1:2 mode, t_rfc_min should be set to RoundUp(RoundUp(tRFCmin/tCK)/2).
In LPDDR2/LPDDR3/LPDDR4 mode:
■if using all-bank refreshes, the tRFCmin value in the above equations is equal to tRFCab
■if using per-bank refreshes, the tRFCmin value in the above equations is equal to tRFCpb
In DDR4 mode, the tRFCmin value in the above equations is different depending on the refresh mode (fixed 1X,2X,4X) and the device density. The user should program the appropriate value from the spec based on the 'refresh_mode' and the device density that is used.
Unit: Clocks.
Value After Reset: 0x8c</t>
    </r>
  </si>
  <si>
    <t>DDRC_INIT1 is used only for DDR3/LPDDR4 configurations and can be left as is for LPDDR3/LPDDR2. In either case, it is not recommended to change these settings.</t>
  </si>
  <si>
    <t>SKIP_DRAM_INIT</t>
  </si>
  <si>
    <t>Description: If lower bit is enabled the SDRAM initialization routine is skipped. The upper bit decides what state the controller starts up in when reset is removed
■ 00 - SDRAM Initialization routine is run after power-up
■ 01 - SDRAM Initialization routine is skipped after power-up. Controller starts up in Normal Mode
■ 11 - SDRAM Initialization routine is skipped after power-up. Controller starts up in Self-refresh Mode
■ 10 - SDRAM Initialization routine is run after power-up.
Value After Reset: 0x0</t>
  </si>
  <si>
    <t>DDRC_INIT0</t>
  </si>
  <si>
    <t>i.MX8M sets this to 0x3</t>
  </si>
  <si>
    <t>POST_CKE_X1024</t>
  </si>
  <si>
    <r>
      <rPr>
        <rFont val="Arial"/>
        <b/>
        <color theme="1"/>
        <sz val="10.0"/>
      </rPr>
      <t>Note, this field is updated automatically and it is not recommended to manually configure it.</t>
    </r>
    <r>
      <rPr>
        <rFont val="Arial"/>
        <color theme="1"/>
        <sz val="10.0"/>
      </rPr>
      <t xml:space="preserve">
Cycles to wait after driving CKE high to start the SDRAM initialization sequence.
Unit: 1024 DFI clock cycles.
DDR2 typically requires a 400 ns delay, requiring this value to be programmed to 2 at all clock speeds.
LPDDR2/LPDDR3 typically requires this to be programmed for a delay of 200 us.
LPDDR4 typically requires this to be programmed for a delay of 2 us.
When the controller is operating in 1:2 frequency ratio mode, program this to JEDEC spec value divided by 2, and round it up to the next integer value.
Each settings give a range as follows:
0: no delay
1: 1 to 1024 cycle delay
2: 1025 to 2048 cycle delay
3: 2048 to 3072 cycle delay
4: 3073 to 4096 cycle delay
5: 4097 to 5120 cycle delay
and so on.
Hence, we need to select a value that meets/exceeds the min value for each range, therefore, we add 1 to the value calculated.
Value After Reset: 0x2</t>
    </r>
  </si>
  <si>
    <t>PRE_CKE_X1024</t>
  </si>
  <si>
    <r>
      <rPr>
        <rFont val="Arial"/>
        <b/>
        <color theme="1"/>
        <sz val="10.0"/>
      </rPr>
      <t>Note, this field is updated automatically and it is not recommended to manually configure it.</t>
    </r>
    <r>
      <rPr>
        <rFont val="Arial"/>
        <color theme="1"/>
        <sz val="10.0"/>
      </rPr>
      <t xml:space="preserve">
Cycles to wait after reset before driving CKE high to start the SDRAM initialization sequence.
Unit: 1024 DFI clock cycles.
DDR2 specifications typically require this to be programmed for a delay of &gt;= 200 us.
LPDDR2/LPDDR3: tINIT1 of 100 ns (min)
LPDDR4: tINIT3 of 2 ms (min)
When the controller is operating in 1:2 frequency ratio mode, program this to JEDEC spec value divided by 2, and round it up to the next integer value.
For DDR3/DDR4 RDIMMs, this should include the time needed to satisfy tSTAB
Value After Reset: 0x4e</t>
    </r>
  </si>
  <si>
    <t>DRAM_RSTN_X1024</t>
  </si>
  <si>
    <r>
      <rPr>
        <rFont val="Arial"/>
        <b/>
        <color theme="1"/>
        <sz val="10.0"/>
      </rPr>
      <t>Note, this field is updated automatically and it is not recommended to manually configure it.</t>
    </r>
    <r>
      <rPr>
        <rFont val="Arial"/>
        <color theme="1"/>
        <sz val="10.0"/>
      </rPr>
      <t xml:space="preserve">
Number of cycles to assert SDRAM reset signal during init sequence.
This is only present for designs supporting DDR3, DDR4 or LPDDR4 devices. For use with a Synopsys DDR PHY, this should be set to a minimum of 1.
When the controller is operating in 1:2 frequency ratio mode, program this to JEDEC spec value divided by 2, and round it up to the next integer value.
Unit: 1024 DFI clock cycles.
Value After Reset: 0x0</t>
    </r>
  </si>
  <si>
    <t>DDRC_INIT1</t>
  </si>
  <si>
    <t>PRE_OCD_X32</t>
  </si>
  <si>
    <t>Description: Wait period before driving the OCD complete command to SDRAM.
Unit: Counts of a global timer that pulses every 32 clock cycles.
There is no known specific requirement for this; it may be set to zero.
Value After Reset: 0x0</t>
  </si>
  <si>
    <t>The following register is not recommended to be changed by the user</t>
  </si>
  <si>
    <t>DIFF_RANK_WR_GAP</t>
  </si>
  <si>
    <t>Only present for multi-rank configurations.
Indicates the number of clocks of gap in data responses when performing consecutive writes to different ranks.
This is used to switch the delays in the PHY to match the rank requirements. This value should consider both PHY requirement and ODT requirement.
■PHY requirement:
tphy_wrcsgap (see PHY databook for value of tphy_wrcsgap)
If CRC feature is enabled, should be increased by 1.
If write preamble is set to 2tCK(DDR4 only), should be increased by 1.
If write postamble is set to 1.5tCK(LPDDR4 only), should be increased by 1.
■ODT requirement:
The value programmed in this register takes care of the ODT switch off timing requirement when switching ranks during writes.
For LPDDR4, the requirement is ODTLoff - ODTLon - BL/2 + 1
When the controller is operating in 1:1 mode, program this to the larger of PHY requirement or ODT requirement.
When the controller is operating in 1:2 mode, program this to the larger value divided by two and round it up to the next integer.
Note that, if using DDR4-LRDIMM, refer to TWRWR timing requirements in JEDEC DDR4 Data Buffer (DDR4DB01) Specification.
Value After Reset: 0x6</t>
  </si>
  <si>
    <t>DDRC_RANKCTL</t>
  </si>
  <si>
    <t>DIFF_RANK_RD_GAP</t>
  </si>
  <si>
    <t>Only present for multi-rank configurations.
Indicates the number of clocks of gap in data responses when performing consecutive reads to different ranks.
This is used to switch the delays in the PHY to match the rank requirements.
This value should consider both PHY requirement and ODT requirement.
■PHY requirement:
tphy_rdcsgap (see PHY databook for value of tphy_rdcsgap)
If read preamble is set to 2tCK(DDR4 only), should be increased by 1.
If read postamble is set to 1.5tCK(LPDDR4 only), should be increased by 1.
■ODT requirement:
The value programmed in this register takes care of the ODT switch off timing requirement when switching ranks during reads.
When the controller is operating in 1:1 mode, program this to the larger of PHY requirement or ODT requirement.
When the controller is operating in 1:2 mode, program this to the larger value divided by two and round it up to the next integer.
Note that, if using DDR4-LRDIMM, refer to TRDRD timing requirements in JEDEC DDR4 Data Buffer (DDR4DB01) Specification.
Value After Reset: 0x6
Per PUB databook, tphy_rdcsgap = 2, then add 1 for read postamble, gives 3 clocks, divided by 2 yields 2. Add one to the final value to provide some margin.</t>
  </si>
  <si>
    <t>MAX_RANK_RD</t>
  </si>
  <si>
    <t>Description: Only present for multi-rank configurations.
Background: Reads to the same rank can be performed back-to-back. Reads to different ranks require additional gap dictated by the register RANKCTL.diff_rank_rd_gap. This is to avoid possible data bus contention as well as to give PHY enough time to switch the delay when changing ranks. The uMCTL2 arbitrates for bus access on a cycle-by-cycle basis; therefore after a read is scheduled, there are few clock cycles (determined by the value on RANKCTL.diff_rank_rd_gap register) in which only reads from the same rank are eligible to be scheduled. This prevents reads from other ranks from having fair access to the data bus.
This parameter represents the maximum number of reads that can be scheduled consecutively to the same rank. After this number is reached, a delay equal to RANKCTL.diff_rank_rd_gap is inserted by the scheduler to allow all ranks a fair opportunity to be scheduled. Higher numbers increase bandwidth utilization, lower numbers increase fairness.
This feature can be DISABLED by setting this register to 0. When set to 0, the Controller stays on the same rank as long as commands are available for it.
Minimum programmable value is 0 (feature disabled) and maximum programmable value is 0xF.
FOR PERFORMANCE ONLY. Recommend leave as default.
Value After Reset: 0xf</t>
  </si>
  <si>
    <t>WR2PRE</t>
  </si>
  <si>
    <t>tWR (automatically calculated based on JEDEC)
Minimum time between write and precharge to same bank.
Unit: Clocks
Specifications: WL + BL/2 + tWR = approximately 8 cycles + 15 ns = 14 clocks @400MHz and less for lower frequencies
where:
■WL = write latency
■BL = burst length. This must match the value programmed in the BL bit of the mode register to the SDRAM. BST (burst terminate) is not supported at present.
■tWR = Write recovery time. This comes directly from the SDRAM specification.
Add one extra cycle for LPDDR2/LPDDR3/LPDDR4 for this parameter.
When the controller is operating in 1:2 frequency ratio mode, 1T mode, divide the above value by 2. No rounding up.
When the controller is operating in 1:2 frequency ratio mode, 2T mode or LPDDR4 mode, divide the above value by 2 and round it up to the next integer value.
Note that, depending on the PHY, if using LRDIMM, it may be necessary to adjust the value of this parameter to compensate for the extra cycle of latency through the LRDIMM.
Value After Reset: 0xf</t>
  </si>
  <si>
    <t>DDRC_DRAMTMG0</t>
  </si>
  <si>
    <t>T_FAW</t>
  </si>
  <si>
    <t>tFAW (in ns) (automatically calculated based on JEDEC)
tFAW Valid only when 8 or more banks(or banks x bank groups) are present.
In 8-bank design, at most 4 banks must be activated in a rolling window of tFAW cycles.
When the controller is operating in 1:2 frequency ratio mode, program this to (tFAW/2) and round up to next integer value.
In a 4-bank design, set this register to 0x1 independent of the 1:1/1:2 frequency mode.
Unit: Clocks
Value After Reset: 0x10</t>
  </si>
  <si>
    <t>T_RAS_MAX</t>
  </si>
  <si>
    <r>
      <rPr>
        <rFont val="Arial"/>
        <b/>
        <color theme="1"/>
        <sz val="10.0"/>
      </rPr>
      <t>Note, this field is updated automatically and it is not recommended to manually configure it.</t>
    </r>
    <r>
      <rPr>
        <rFont val="Arial"/>
        <color theme="1"/>
        <sz val="10.0"/>
      </rPr>
      <t xml:space="preserve">
tRAS(max): Maximum time between activate and precharge to same bank. This is the maximum time that a page can be kept open
Minimum value of this register is 1. Zero is invalid.
When the controller is operating in 1:2 frequency ratio mode, program this to (tRAS(max)-1)/2. No rounding up.
Unit: Multiples of 1024 clocks.
Value After Reset: 0x1b</t>
    </r>
  </si>
  <si>
    <t>T_RAS_MIN</t>
  </si>
  <si>
    <t>tRAS(min) (automatically calculated based on JEDEC)
tRAS(min): Minimum time between activate and precharge to the same bank.
When the controller is operating in 1:2 frequency mode, 1T mode, program this to tRAS(min)/2. No rounding up.
When the controller is operating in 1:2 frequency ratio mode, 2T mode or LPDDR4 mode, program this to (tRAS(min)/2) and round it up to the next integer value.
Unit: Clocks
Value After Reset: 0xf</t>
  </si>
  <si>
    <t>T_XP</t>
  </si>
  <si>
    <t>tXP (automatically calculated based on JEDEC)
tXP: Minimum time after power-down exit to any operation. For DDR3, this should be programmed to tXPDLL if slow powerdown exit is selected in MR0[12].
If C/A parity for DDR4 is used, set to (tXP+PL) instead.
If LPDDR4 is selected and its spec has tCKELPD parameter, set to the larger of tXP and tCKELPD instead.
When the controller is operating in 1:2 frequency ratio mode, program this to (tXP/2) and round it up to the next integer value.
Units: Clocks
Value After Reset: 0x8</t>
  </si>
  <si>
    <t>DDRC_DRAMTMG1</t>
  </si>
  <si>
    <t>RD2PRE</t>
  </si>
  <si>
    <t>tRTP (automatically calculated based on JEDEC)
tRTP: Minimum time from read to precharge of same bank.
■DDR2: tAL + BL/2 + max(tRTP, 2) - 2
■DDR3: tAL + max (tRTP, 4)
■DDR4: Max of following two equations: tAL + max (tRTP, 4) or, RL + BL/2 - tRP (*).
■mDDR: BL/2
■LPDDR2: Depends on if it's LPDDR2-S2 or LPDDR2-S4: LPDDR2-S2: BL/2 + tRTP - 1. LPDDR2-S4: BL/2 + max(tRTP,2) - 2.
■LPDDR3: BL/2 + max(tRTP,4) - 4
■LPDDR4: BL/2 + max(tRTP,8) - 8
(*) When both DDR4 SDRAM and ST-MRAM are used simultaneously, use SDRAM's tRP value for calculation.
When the controller is operating in 1:2 mode, 1T mode, divide the above value by 2. No rounding up.
When the controller is operating in 1:2 mode, 2T mode or LPDDR4 mode, divide the above value by 2 and round it up to the next integer value.
Unit: Clocks.
Value After Reset: 0x4</t>
  </si>
  <si>
    <t>T_RC</t>
  </si>
  <si>
    <t>tRPab (automatically calculated based on JEDEC). This will then get added (automatically) to tRAS. 
tRC: Minimum time between activates to same bank.
When the controller is operating in 1:2 frequency ratio mode, program this to (tRC/2) and round up to next integer value.
Unit: Clocks.
Value After Reset: 0x14</t>
  </si>
  <si>
    <t>Number of DDR Clock Cycles or time (ns)</t>
  </si>
  <si>
    <t>(Automatically Calculated) Number of DDRC Clock Cycles</t>
  </si>
  <si>
    <t>WRITE_LATENCY</t>
  </si>
  <si>
    <t>Set to WL (automatically calculated based on JEDEC)
Time from write command to write data on SDRAM interface. This must be set to WL.
For mDDR, it should normally be set to 1.
Note that, depending on the PHY, if using RDIMM/LRDIMM, it may be necessary to adjust the value of WL to compensate for the extra cycle of latency through the RDIMM/LRDIMM.
When the controller is operating in 1:2 frequency ratio mode, divide the value calculated using the above equation by 2, and round it up to next integer.
This register field is not required for DDR2 and DDR3 (except if MEMC_TRAINING is set), as the DFI read and write latencies defined in DFITMG0 and DFITMG1 are sufficient for those protocols
Unit: clocks
Value After Reset: 0x3</t>
  </si>
  <si>
    <t>DDRC_DRAMTMG2</t>
  </si>
  <si>
    <t>READ_LATENCY</t>
  </si>
  <si>
    <t>Set to RL (automatically calculated based on JEDEC)
Time from read command to read data on SDRAM interface. This must be set to RL.
Note that, depending on the PHY, if using RDIMM/LRDIMM, it may be necessary to adjust the value of RL to compensate for the extra cycle of latency through the RDIMM/LRDIMM.
When the controller is operating in 1:2 frequency ratio mode, divide the value calculated using the above equation by 2, and round it up to next integer.
This register field is not required for DDR2 and DDR3 (except if MEMC_TRAINING is set), as the DFI read and write latencies defined in DFITMG0 and DFITMG1 are sufficient for those protocols
Unit: clocks
Value After Reset: 0x5</t>
  </si>
  <si>
    <t>RD2WR</t>
  </si>
  <si>
    <t>Must supply the tDQSCK_max from the DRAM data sheet for LPDDR4 (automatically calculated based on JEDEC).
DDR2/3/mDDR: RL + BL/2 + 2 - WL
DDR4: RL + BL/2 + 1 + WR_PREAMBLE - WL
LPDDR2/LPDDR3: RL + BL/2 + RU(tDQSCKmax/tCK) + 1 - WL
LPDDR4(DQ ODT is Disabled): RL + BL/2 + RU(tDQSCKmax/tCK) + WR_PREAMBLE + RD_POSTAMBLE - WL
LPDDR4(DQ ODT is Enabled) : RL + BL/2 + RU(tDQSCKmax/tCK) + RD_POSTAMBLE - ODTLon - RU(tODTon(min)/tCK)
Minimum time from read command to write command. Include time for bus turnaround and all per-bank, per-rank, and global constraints. Please see the relevant PHY databook for details of what should be included here.
Unit: Clocks.
Where:
■WL = write latency
■BL = burst length. This must match the value programmed in the BL bit of the mode register to the SDRAM
■RL = read latency = CAS latency
■WR_PREAMBLE = write preamble. This is unique to DDR4 and LPDDR4.
■RD_POSTAMBLE = read postamble. This is unique to LPDDR4.
For LPDDR2/LPDDR3/LPDDR4, if derating is enabled (DERATEEN.derate_enable=1), derated tDQSCKmax should be used.
When the controller is operating in 1:2 frequency ratio mode, divide the value calculated using the above equation by 2, and round it up to next integer.
Note that, depending on the PHY, if using LRDIMM, it may be necessary to adjust the value of this parameter to compensate for the extra cycle of latency through the LRDIMM.
Value After Reset: 0x6
Note, if WDQSExt is enabled we also need to add WDQSPREEXT, where WDQSPREEXT=WL-WDQS_on. WDQS_on value can be found a few cells to the right (its JEDEC timing is based on write latency)</t>
  </si>
  <si>
    <t>WDQS_on:</t>
  </si>
  <si>
    <t>WR2RD</t>
  </si>
  <si>
    <r>
      <rPr>
        <rFont val="Arial"/>
        <b/>
        <color theme="1"/>
        <sz val="10.0"/>
      </rPr>
      <t>tWTR (automatically calculated based on JEDEC).</t>
    </r>
    <r>
      <rPr>
        <rFont val="Arial"/>
        <color theme="1"/>
        <sz val="10.0"/>
      </rPr>
      <t xml:space="preserve">
DDR4: CWL + PL + BL/2 + tWTR_L
LPDDR2/3/4: WL + BL/2 + tWTR + 1
Others: CWL + BL/2 + tWTR
In DDR4, minimum time from write command to read command for same bank group. In others, minimum time from write command to read command. Includes time for bus turnaround, recovery times, and all per-bank, per-rank, and global constraints.
Unit: Clocks.
Where:
■CWL = CAS write latency
■WL = Write latency
■PL = Parity latency
■BL = burst length. This must match the value programmed in the BL bit of the mode register to the SDRAM
■tWTR_L = internal write to read command delay for same bank group. This comes directly from the SDRAM specification.
■tWTR = internal write to read command delay. This comes directly from the SDRAM specification.
Add one extra cycle for LPDDR2/LPDDR3/LPDDR4 operation.
When the controller is operating in 1:2 mode, divide the value calculated using the above equation by 2, and round it up to next integer.
Value After Reset: 0xd
Note, if WDQSExt is enabled we also need to add WDQSPREEXT, where WDQSPREEXT=WL-WDQS_on. WDQS_on value can be found a few cells to the right (its JEDEC timing is based on write latency)</t>
    </r>
  </si>
  <si>
    <t>T_MRW</t>
  </si>
  <si>
    <t>Timing parameter automatically calculated based on JEDEC.
Description: Time to wait after a mode register write or read (MRW or MRR).
Present only in designs configured to support LPDDR2/LPDDR3/LPDDR4
LPDDR4: Set this to the larger of tMRW and tMRWCKEL in ns.
Value After Reset: 0x0</t>
  </si>
  <si>
    <t>DDRC_DRAMTMG3</t>
  </si>
  <si>
    <t>T_MRD</t>
  </si>
  <si>
    <t>tMRD (automatically calculated based on JEDEC).
tMRD: Cycles to wait after a mode register write or read. Depending on the connected SDRAM, tMRD represents:
DDR2/mDDR: Time from MRS to any command
DDR3/4: Time from MRS to MRS command
LPDDR2: not used
LPDDR3/4: Time from MRS to non-MRS command.
When the controller is operating in 1:2 frequency ratio mode, program this to (tMRD/2) and round it up to the next integer value.
If C/A parity for DDR4 is used, set to tMRD_PAR(tMOD+PL) instead.
Value After Reset: 0x4</t>
  </si>
  <si>
    <t>T_MOD</t>
  </si>
  <si>
    <t>tMOD: Parameter used only in DDR3 and DDR4. Cycles between load mode command and following non-load mode command.
If C/A parity for DDR4 is used, set to tMOD_PAR(tMOD+PL) instead.
Set to tMOD if controller is operating in 1:1 frequency ratio mode, or tMOD/2 (rounded up to next integer) if controller is operating in 1:2 frequency ratio mode. Note that if using RDIMM/LRDIMM, depending on the PHY, it may be necessary to adjust the value of this parameter to compensate for the extra cycle of latency applied to mode register writes by the RDIMM/LRDIMM chip.
Also note that if using LRDIMM, the minimum value of this register is tMRD_L2 if controller is operating in 1:1 frequency ratio mode, or tMRD_L2/2 (rounded up to next integer) if controller is operating in 1:2 frequency ratio mode.</t>
  </si>
  <si>
    <t>T_RCD</t>
  </si>
  <si>
    <t>tRCD (automatically calculated based on JEDEC).
tRCD - tAL: Minimum time from activate to read or write command to same bank. Note, for LPDDR4, tAL is not used and is 0, therefore this parameter is based on tRCD only.
When the controller is operating in 1:2 frequency ratio mode, program this to ((tRCD - tAL)/2) and round it up to the next integer value.
Minimum value allowed for this register is 1, which implies minimum (tRCD - tAL) value to be 2 when the controller is operating in 1:2 frequency ratio mode.
Unit: Clocks.
Value After Reset: 0x5</t>
  </si>
  <si>
    <t>DDRC_DRAMTMG4</t>
  </si>
  <si>
    <t>T_CCD</t>
  </si>
  <si>
    <t>tCCD (automatically calculated based on JEDEC).
DDR4: tCCD_L: This is the minimum time between two reads or two writes for same bank group.
Others: tCCD: This is the minimum time between two reads or two writes.
When the controller is operating in 1:2 frequency ratio mode, program this to (tCCD_L/2 or tCCD/2) and round it up to the next integer value.
Unit: clocks.
Value After Reset: 0x4</t>
  </si>
  <si>
    <t>T_RRD</t>
  </si>
  <si>
    <t>tRRD (automatically calculated based on JEDEC).
DDR4: tRRD_L: Minimum time between activates from bank "a" to bank "b" for same bank group.
Others: tRRD: Minimum time between activates from bank "a" to bank "b"
When the controller is operating in 1:2 frequency ratio mode, program this to (tRRD_L/2 or tRRD/2) and round it up to the next integer value.
Unit: Clocks.
Value After Reset: 0x4</t>
  </si>
  <si>
    <t>T_RP</t>
  </si>
  <si>
    <t>tRPpb (automatically calculated based on JEDEC).
tRP: Minimum time from precharge to activate of same bank.
When the controller is operating in 1:1 frequency ratio mode, t_rp should be set to RoundUp(tRP/tCK).
When the controller is operating in 1:2 frequency ratio mode, t_rp should be set to RoundDown(RoundUp(tRP/tCK)/2) + 1.
When the controller is operating in 1:2 frequency ratio mode in LPDDR4, t_rp should be set to RoundUp(RoundUp(tRP/tCK)/2).
Unit: Clocks.
Value After Reset: 0x5</t>
  </si>
  <si>
    <t>T_CKSRX</t>
  </si>
  <si>
    <t>tCKCKEH (automatically calculated based on JEDEC).
This is the time before Self Refresh Exit that CK is maintained as a valid clock before issuing SRX. Specifies the clock stable time before SRX.
Recommended settings:
■mDDR: 1
■LPDDR2: 2
■LPDDR3: 2
■LPDDR4: tCKCKEH
■DDR2: 1
■DDR3: tCKSRX
■DDR4: tCKSRX
When the controller is operating in 1:2 frequency ratio mode, program this to recommended value divided by two and round it up to next integer.
Value After Reset: 0x5</t>
  </si>
  <si>
    <t>DDRC_DRAMTMG5</t>
  </si>
  <si>
    <t>T_CKSRE</t>
  </si>
  <si>
    <t>tCKELCK (automatically calculated based on JEDEC).
This is the time after Self Refresh Down Entry that CK is maintained as a valid clock. Specifies the clock disable delay after SRE.
Recommended settings:
■mDDR: 0
■LPDDR2: 2
■LPDDR3: 2
■LPDDR4: tCKELCK
■DDR2: 1
■DDR3: max (10 ns, 5 tCK)
■DDR4: max (10 ns, 5 tCK) (+ PL(parity latency)(*))
(*)Only if CRCPARCTL1.caparity_disable_before_sr=0, this register should be increased by PL.
When the controller is operating in 1:2 frequency ratio mode, program this to recommended value divided by two and round it up to next integer.
Value After Reset: 0x5</t>
  </si>
  <si>
    <t>T_CKESR</t>
  </si>
  <si>
    <t>max(tCKE, tSR) (automatically calculated based on JEDEC).
Minimum CKE low width for Self refresh or Self refresh power down entry to exit timing in memory clock cycles.
Recommended settings:
■mDDR: tRFC
■LPDDR2: tCKESR
■LPDDR3: tCKESR
■LPDDR4: max(tCKE, tSR)
tSR: max(15ns, 3tCK)
tCKE: max(7.5ns, 4tCK)
■DDR2: tCKE
■DDR3: tCKE + 1
■DDR4: tCKE + 1 (+ PL(parity latency)(*))
(*)Only if CRCPARCTL1.caparity_disable_before_sr=0, this register should be increased by PL.
When the controller is operating in 1:2 frequency ratio mode, program this to recommended value divided by two and round it up to next integer.
Value After Reset: 0x4</t>
  </si>
  <si>
    <t>T_CKE</t>
  </si>
  <si>
    <t>max(tCKE, tSR) (automatically calculated based on JEDEC).
Minimum number of cycles of CKE HIGH/LOW during power-down and self refresh.
■LPDDR2/LPDDR3 mode: Set this to the larger of tCKE or tCKESR
■LPDDR4 mode: Set this to the larger of tCKE or tSR.
■Non-LPDDR2/non-LPDDR3/non-LPDDR4 designs: Set this to tCKE value.
When the controller is operating in 1:2 frequency ratio mode, program this to (value described above)/2 and round it up to the next integer value.
Unit: Clocks.
Value After Reset: 0x3</t>
  </si>
  <si>
    <t>DDRC_DRAMTMG6 is used only for LPDDR4/LPDDR3/LPDDR2 configurations and can be left as is for other memory types In either case, it is not recommended to change these settings.</t>
  </si>
  <si>
    <t>T_CKDPDE</t>
  </si>
  <si>
    <t>This is the time after Deep Power Down Entry that CK is maintained as a valid clock. Specifies the clock disable delay after DPDE.
Recommended settings:
■mDDR: 0
■LPDDR2: 2
■LPDDR3: 2
When the controller is operating in 1:2 frequency ratio mode, program this to recommended value divided by two and round it up to next integer.
This is only present for designs supporting mDDR or LPDDR2/LPDDR3 devices.
Value After Reset: 0x2</t>
  </si>
  <si>
    <t>DDRC_DRAMTMG6</t>
  </si>
  <si>
    <t>T_CKDPDX</t>
  </si>
  <si>
    <t>This is the time before Deep Power Down Exit that CK is maintained as a valid clock before issuing DPDX. Specifies the clock stable time before DPDX.
Recommended settings:
■mDDR: 1
■LPDDR2: 2
■LPDDR3: 2
When the controller is operating in 1:2 frequency ratio mode, program this to recommended value divided by two and round it up to next integer.
This is only present for designs supporting mDDR or LPDDR2 devices.
Value After Reset: 0x2</t>
  </si>
  <si>
    <t>T_CKCSX</t>
  </si>
  <si>
    <r>
      <rPr>
        <rFont val="Arial"/>
        <b/>
        <color theme="1"/>
        <sz val="10.0"/>
      </rPr>
      <t>tXP + 2 (automatically calculated based on JEDEC)</t>
    </r>
    <r>
      <rPr>
        <rFont val="Arial"/>
        <color theme="1"/>
        <sz val="10.0"/>
      </rPr>
      <t xml:space="preserve">
This is the time before Clock Stop Exit that CK is maintained as a valid clock before issuing Clock Stop Exit. Specifies the clock stable time before next command after Clock Stop Exit.
Recommended settings:
■mDDR: 1
■LPDDR2: tXP + 2
■LPDDR3: tXP + 2
■LPDDR4: tXP + 2
When the controller is operating in 1:2 frequency ratio mode, program this to recommended value divided by two and round it up to next integer.
This is only present for designs supporting mDDR or LPDDR2/LPDDR3/LPDDR4 devices.
Value After Reset: 0x5</t>
    </r>
  </si>
  <si>
    <t>DDRC_DRAMTMG7 is used only for LPDDR4/LPDDR3/LPDDR2 configurations and can be left as is for other memory types. In either case, it is not recommended to change these settings.</t>
  </si>
  <si>
    <t>T_CKPDE</t>
  </si>
  <si>
    <r>
      <rPr>
        <rFont val="Arial"/>
        <b/>
        <color theme="1"/>
        <sz val="10.0"/>
      </rPr>
      <t>tCKELCK (automatically calculated based on JEDEC)</t>
    </r>
    <r>
      <rPr>
        <rFont val="Arial"/>
        <color theme="1"/>
        <sz val="10.0"/>
      </rPr>
      <t xml:space="preserve">
This is the time after Power Down Entry that CK is maintained as a valid clock. Specifies the clock disable delay after PDE.
Recommended settings:
■mDDR: 0
■LPDDR2: 2
■LPDDR3: 2
■LPDDR4: tCKELCK
When using DDR2/3/4 SDRAM, this register should be set to the same value as DRAMTMG5.t_cksre. When the controller is operating in 1:2 frequency ratio mode, program this to recommended value divided by two and round it up to next integer.
This is only present for designs supporting mDDR or LPDDR2/LPDDR3/LPDDR4 devices.
Value After Reset: 0x2</t>
    </r>
  </si>
  <si>
    <t>DDRC_DRAMTMG7</t>
  </si>
  <si>
    <t>T_CKPDX</t>
  </si>
  <si>
    <t>This is the time before Power Down Exit that CK is maintained as a valid clock before issuing PDX. Specifies the clock stable time before PDX.
Recommended settings:
■mDDR: 0
■LPDDR2: 2
■LPDDR3: 2
■LPDDR4: 2
When using DDR2/3/4 SDRAM, this register should be set to the same value as DRAMTMG5.t_cksrx. When the controller is operating in 1:2 frequency ratio mode, program this to recommended value divided by two and round it up to next integer.
This is only present for designs supporting mDDR or LPDDR2/LPDDR3/LPDDR4 devices.
Value After Reset: 0x2</t>
  </si>
  <si>
    <t>T_CMDCKE</t>
  </si>
  <si>
    <r>
      <rPr>
        <rFont val="Arial"/>
        <color theme="1"/>
        <sz val="10.0"/>
      </rPr>
      <t xml:space="preserve">tCMDCKE: Delay from valid command to CKE input LOW.
</t>
    </r>
    <r>
      <rPr>
        <rFont val="Arial"/>
        <b/>
        <color theme="1"/>
        <sz val="10.0"/>
      </rPr>
      <t>Set this to the larger of tESCKE or tCMDCKE (automatically calculated based on JEDEC)
tESCKE: Max(1.75ns, 3nCK)
tCMDCKE: Max(1.75ns, 3tCK)</t>
    </r>
    <r>
      <rPr>
        <rFont val="Arial"/>
        <color theme="1"/>
        <sz val="10.0"/>
      </rPr>
      <t xml:space="preserve">
When the controller is operating in 1:2 frequency ratio mode, program this to (max(tESCKE, tCMDCKE)/2) and round it up to the next integer value.
Value After Reset: 0x2</t>
    </r>
  </si>
  <si>
    <t>DDRC_DRAMTMG12</t>
  </si>
  <si>
    <t>T_CKEHCMD</t>
  </si>
  <si>
    <r>
      <rPr>
        <rFont val="Arial"/>
        <color theme="1"/>
        <sz val="10.0"/>
      </rPr>
      <t>Description: tCKEHCMD: Valid command requirement after CKE input HIGH.</t>
    </r>
    <r>
      <rPr>
        <rFont val="Arial"/>
        <b/>
        <color theme="1"/>
        <sz val="10.0"/>
      </rPr>
      <t xml:space="preserve"> Input tCKEHCMD in ns. May also be referred to as tCKEHCS: Max(7.5ns,5tCK). (automatically calculated based on JEDEC)</t>
    </r>
    <r>
      <rPr>
        <rFont val="Arial"/>
        <color theme="1"/>
        <sz val="10.0"/>
      </rPr>
      <t xml:space="preserve">
When the controller is operating in 1:2 frequency ratio mode, program this to (tCKEHCMD/2) and round it up to next integer value.  (this is performed automatically)
Value After Reset: 0x6</t>
    </r>
  </si>
  <si>
    <t>T_MRD_PDA</t>
  </si>
  <si>
    <r>
      <rPr>
        <rFont val="Arial"/>
        <b/>
        <color theme="1"/>
        <sz val="10.0"/>
      </rPr>
      <t>Doesn't apply for LPDDR4, hence can leave this as default 16 (0x10) or set to 0</t>
    </r>
    <r>
      <rPr>
        <rFont val="Arial"/>
        <color theme="1"/>
        <sz val="10.0"/>
      </rPr>
      <t xml:space="preserve">
tMRD_PDA: This is the Mode Register Set command cycle time in PDA mode.
When the controller is operating in 1:2 frequency ratio mode, program this to (tMRD_PDA/2) and round it up to the next integer value.
Value After Reset: 0x10</t>
    </r>
  </si>
  <si>
    <t>ODTLOFF</t>
  </si>
  <si>
    <r>
      <rPr>
        <rFont val="Arial"/>
        <color theme="1"/>
        <sz val="10.0"/>
      </rPr>
      <t xml:space="preserve">Description: LPDDR4: tODTLoff: This is the latency from CAS-2 command to tODToff reference.
</t>
    </r>
    <r>
      <rPr>
        <rFont val="Arial"/>
        <b/>
        <color theme="1"/>
        <sz val="10.0"/>
      </rPr>
      <t>In the JEDEC spec and memory vendor data sheet, this value is found in table which provides latency values for various frequency ranges, input the desired ODTLoff latency setting in clock cycles.</t>
    </r>
    <r>
      <rPr>
        <rFont val="Arial"/>
        <color theme="1"/>
        <sz val="10.0"/>
      </rPr>
      <t xml:space="preserve">
When the controller is operating in 1:2 frequency ratio mode, program this to (tODTLoff/2) and round it up to the next integer value.
Unit: Clocks.
Value After Reset: 0x1c</t>
    </r>
  </si>
  <si>
    <t>DDRC_DRAMTMG13</t>
  </si>
  <si>
    <t>T_CCD_MW</t>
  </si>
  <si>
    <r>
      <rPr>
        <rFont val="Arial"/>
        <color theme="1"/>
        <sz val="10.0"/>
      </rPr>
      <t xml:space="preserve">Description: LPDDR4: tCCDMW: This is the minimum time from write or masked write to masked write command for same bank.
</t>
    </r>
    <r>
      <rPr>
        <rFont val="Arial"/>
        <b/>
        <color theme="1"/>
        <sz val="10.0"/>
      </rPr>
      <t>In some memory vendor data sheets, this is listed as CAS-to-CAS delay masked write, input the value in clock cycles.</t>
    </r>
    <r>
      <rPr>
        <rFont val="Arial"/>
        <color theme="1"/>
        <sz val="10.0"/>
      </rPr>
      <t xml:space="preserve">
When the controller is operating in 1:2 frequency ratio mode, program this to (tCCDMW/2) and round it up to the next integer value.
Unit: Clocks.
Value After Reset: 0x20</t>
    </r>
  </si>
  <si>
    <t>T_PPD</t>
  </si>
  <si>
    <t>Description: LPDDR4: tPPD: This is the minimum time from precharge to precharge command.
When the controller is operating in 1:2 frequency ratio mode, program this to (tPPD/2) and round it up to the next integer value.
Unit: Clocks.
Value After Reset: 0x4</t>
  </si>
  <si>
    <t>T_XSR</t>
  </si>
  <si>
    <r>
      <rPr>
        <rFont val="Arial"/>
        <b/>
        <color theme="1"/>
        <sz val="10.0"/>
      </rPr>
      <t>tXSR: Max (tRFCab + 7.5ns, 2tCK) (automatically calculated based on JEDEC)</t>
    </r>
    <r>
      <rPr>
        <rFont val="Arial"/>
        <color theme="1"/>
        <sz val="10.0"/>
      </rPr>
      <t xml:space="preserve">
tXSR: Exit Self Refresh to any command.
When the controller is operating in 1:2 frequency ratio mode, program this to the above value divided by 2 and round up to next integer value.
Note: Used only for mDDR/LPDDR2/LPDDR3/LPDDR4 mode.
Value After Reset: 0xa0</t>
    </r>
  </si>
  <si>
    <t>DDRC_DRAMTMG14</t>
  </si>
  <si>
    <t>T_VRCG_ENABLE</t>
  </si>
  <si>
    <t>LPDDR4: tVRCG_ENABLE: VREF high current mode enable time.
When the controller is operating in 1:2 frequency ratio mode, program this to (tVRCG_ENABLE/2) and round it up to the next integer value.
Unit: DFI clocks
Value After Reset: 0x0</t>
  </si>
  <si>
    <t>DDRC_DRAMTMG17</t>
  </si>
  <si>
    <t>T_VRCG_DISABLE</t>
  </si>
  <si>
    <t>LPDDR4: tVRCG_ENABLE: VREF high current mode disable time.
When the controller is operating in 1:2 frequency ratio mode, program this to (tVRCG_DISABLE/2) and round it up to the next integer value.
Unit: DFI clocks
Value After Reset: 0x0</t>
  </si>
  <si>
    <t>DIS_AUTO_ZQ</t>
  </si>
  <si>
    <t>Description: Disable Automatic ZQ Calibration
■ 1 - Disables uMCTL2 generation of ZQCS command. Register DBGCMD.zq_calib_short can be used instead to issue ZQ calibration request from APB module.
■ 0 - Internally generate ZQCS commands based on ZQCTL1.t_zq_short_interval_x1024.
Value After Reset: 0x0</t>
  </si>
  <si>
    <t>DDRC_ZQCTL0</t>
  </si>
  <si>
    <t>DIS_SRX_ZQCL</t>
  </si>
  <si>
    <t>Description: Disable ZQCL command at Self-Refresh exit.
■ 1 - Disable issuing of ZQCL command at Self-Refresh exit.
■ 0 - Enable issuing of ZQCL command at Self-Refresh exit.
Value After Reset: 0x0</t>
  </si>
  <si>
    <t>ZQ_RESISTOR_SHARED</t>
  </si>
  <si>
    <t>Description: Shared ZQ resistor between ranks.
■ 1 - Denotes that ZQ resistor is shared between ranks. Means ZQinit/ZQCL/ZQCS commands are sent to one rank at a time with tZQinit/tZQCL/tZQCS timing met between commands so that commands to different ranks do not overlap.
■ 0 - ZQ resistor is not shared.
Value After Reset: 0x0</t>
  </si>
  <si>
    <t>DIS_MPSMX_ZQCL</t>
  </si>
  <si>
    <t>Description:
■1 - Disable issuing of ZQCL command at Maximum Power Saving Mode exit. Only applicable when run in DDR4 mode.
■0 - Enable issuing of ZQCL command at Maximum Power Saving Mode exit. Only applicable when run in DDR4 mode.
This is only present for designs supporting DDR4 devices.</t>
  </si>
  <si>
    <t>T_ZQ_LONG_NOP</t>
  </si>
  <si>
    <r>
      <rPr>
        <rFont val="Arial"/>
        <b/>
        <color theme="1"/>
        <sz val="10.0"/>
      </rPr>
      <t>tZQCAL: 1us (automatically calculated based on JEDEC)</t>
    </r>
    <r>
      <rPr>
        <rFont val="Arial"/>
        <color theme="1"/>
        <sz val="10.0"/>
      </rPr>
      <t xml:space="preserve">
tZQoper for DDR3/DDR4, tZQCL for LPDDR2/LPDDR3, tZQCAL for LPDDR4: Number of DFI clock cycles of NOP required after a ZQCL (ZQ calibration long)/MPC(ZQ Start) command is issued to SDRAM.
When the controller is operating in 1:2 frequency ratio mode:
DDR3/DDR4: program this to tZQoper/2 and round it up to the next integer value.
LPDDR2/LPDDR3: program this to tZQCL/2 and round it up to the next integer value.
LPDDR4: program this to tZQCAL/2 and round it up to the next integer value.
This is only present for designs supporting DDR3/DDR4 or LPDDR2/LPDDR3/LPDDR4 devices.
Value After Reset: 0x200</t>
    </r>
  </si>
  <si>
    <t>T_ZQ_SHORT_NOP</t>
  </si>
  <si>
    <r>
      <rPr>
        <rFont val="Arial"/>
        <b/>
        <color theme="1"/>
        <sz val="10.0"/>
      </rPr>
      <t>tZQLAT: Max (30ns, 8tCK) (automatically calculated based on JEDEC)</t>
    </r>
    <r>
      <rPr>
        <rFont val="Arial"/>
        <color theme="1"/>
        <sz val="10.0"/>
      </rPr>
      <t xml:space="preserve">
tZQCS for DDR3/DD4/LPDDR2/LPDDR3, tZQLAT for LPDDR4: Number of DFI clock cycles of NOP required after a ZQCS (ZQ calibration short)/MPC(ZQ Latch) command is issued to SDRAM.
When the controller is operating in 1:2 frequency ratio mode, program this to tZQCS/2 and round it up to the next integer value.
This is only present for designs supporting DDR3/DDR4 or LPDDR2/LPDDR3/LPDDR4 devices.
Value After Reset: 0x40</t>
    </r>
  </si>
  <si>
    <t>DDRC_ZQCTL1 is mainly used only for LPDDR4/LPDDR3/LPDDR2 configurations.</t>
  </si>
  <si>
    <t>T_ZQ_RESET_NOP</t>
  </si>
  <si>
    <r>
      <rPr>
        <rFont val="Arial"/>
        <b/>
        <color theme="1"/>
        <sz val="10.0"/>
      </rPr>
      <t>tZQRESET: Max (50ns, 3tCK) (automatically calculated based on JEDEC)</t>
    </r>
    <r>
      <rPr>
        <rFont val="Arial"/>
        <color theme="1"/>
        <sz val="10.0"/>
      </rPr>
      <t xml:space="preserve">
tZQReset: Number of DFI clock cycles of NOP required after a ZQReset (ZQ calibration Reset) command is issued to SDRAM.
When the controller is operating in 1:2 frequency ratio mode, program this to tZQReset/2 and round it up to the next integer value.
This is only present for designs supporting LPDDR2/LPDDR3/LPDDR4 devices.
Value After Reset: 0x20</t>
    </r>
  </si>
  <si>
    <t>DDRC_ZQCTL1</t>
  </si>
  <si>
    <t>T_ZQ_SHORT_INTERVAL_X1024</t>
  </si>
  <si>
    <t>Average interval to wait between automatically issuing ZQCS (ZQ calibration short)/MPC(ZQ calibration) commands to DDR3/DDR4/LPDDR2/LPDDR3/LPDDR4 devices.
Meaningless, if ZQCTL0.dis_auto_zq=1.
Unit: 1024 DFI clock cycles.
This is only present for designs supporting DDR3/DDR4 or LPDDR2/LPDDR3/LPDDR4 devices.
Value After Reset: 0x100
Recommend to set to 32ms to align with DRAM vendor's temperature sensor interval.</t>
  </si>
  <si>
    <t>DERATE_MR4_PAUSE_FC</t>
  </si>
  <si>
    <t>Pauses MR4 reads. Must only be set to 1 as part of Frequency Change procedures, if DERATEEN.derate_enable=1</t>
  </si>
  <si>
    <t>DDRC_DERATEEN</t>
  </si>
  <si>
    <t>DERATE_MR4_TUF_DIS</t>
  </si>
  <si>
    <r>
      <rPr>
        <rFont val="Arial"/>
        <color theme="1"/>
        <sz val="10.0"/>
      </rPr>
      <t xml:space="preserve">Disables use of MR4 TUF flag(MR4[7])bit
</t>
    </r>
    <r>
      <rPr>
        <rFont val="Segoe UI Symbol"/>
        <color theme="1"/>
        <sz val="10.0"/>
      </rPr>
      <t>■</t>
    </r>
    <r>
      <rPr>
        <rFont val="Arial"/>
        <color theme="1"/>
        <sz val="10.0"/>
      </rPr>
      <t xml:space="preserve">0 - Use MR4 TUF flag.
</t>
    </r>
    <r>
      <rPr>
        <rFont val="Segoe UI Symbol"/>
        <color theme="1"/>
        <sz val="10.0"/>
      </rPr>
      <t>■</t>
    </r>
    <r>
      <rPr>
        <rFont val="Arial"/>
        <color theme="1"/>
        <sz val="10.0"/>
      </rPr>
      <t>1 - Do not use MR4 TUF Flag
For LPDDR4, it is recommended to set this register to 1</t>
    </r>
  </si>
  <si>
    <t>RC_DERATE_VALUE</t>
  </si>
  <si>
    <r>
      <rPr>
        <rFont val="Arial"/>
        <color theme="1"/>
        <sz val="10.0"/>
      </rPr>
      <t xml:space="preserve">Derate value of tRC for LPDDR4
</t>
    </r>
    <r>
      <rPr>
        <rFont val="Segoe UI Symbol"/>
        <color theme="1"/>
        <sz val="10.0"/>
      </rPr>
      <t>■</t>
    </r>
    <r>
      <rPr>
        <rFont val="Arial"/>
        <color theme="1"/>
        <sz val="10.0"/>
      </rPr>
      <t xml:space="preserve">0 - Derating uses +1.
</t>
    </r>
    <r>
      <rPr>
        <rFont val="Segoe UI Symbol"/>
        <color theme="1"/>
        <sz val="10.0"/>
      </rPr>
      <t>■</t>
    </r>
    <r>
      <rPr>
        <rFont val="Arial"/>
        <color theme="1"/>
        <sz val="10.0"/>
      </rPr>
      <t xml:space="preserve">1 - Derating uses +2.
</t>
    </r>
    <r>
      <rPr>
        <rFont val="Segoe UI Symbol"/>
        <color theme="1"/>
        <sz val="10.0"/>
      </rPr>
      <t>■</t>
    </r>
    <r>
      <rPr>
        <rFont val="Arial"/>
        <color theme="1"/>
        <sz val="10.0"/>
      </rPr>
      <t xml:space="preserve">2 - Derating uses +3.
</t>
    </r>
    <r>
      <rPr>
        <rFont val="Segoe UI Symbol"/>
        <color theme="1"/>
        <sz val="10.0"/>
      </rPr>
      <t>■</t>
    </r>
    <r>
      <rPr>
        <rFont val="Arial"/>
        <color theme="1"/>
        <sz val="10.0"/>
      </rPr>
      <t>3 - Derating uses +4.
Present only in designs configured to support LPDDR4. The required number of cycles for derating can be determined by dividing 3.75ns by the core_ddrc_core_clk period, and rounding up the next integer.
This value is automatically calculated.</t>
    </r>
  </si>
  <si>
    <t>DERATE_BYTE</t>
  </si>
  <si>
    <t>Indicates which byte of the MRR data is used for derating.
Note, this parameter is automatically configured based on the information provided in the BoardDataBusConfig tab. It is important for the user to correctly configure the BoardDataBusConfig worksheet tab.</t>
  </si>
  <si>
    <t>DERATE_VALUE</t>
  </si>
  <si>
    <t>Derate value
■0 - Derating uses +1.
■1 - Derating uses +2.
For LPDDR4, if the period of core_ddrc_core_clk is less than 1.875ns, this register field should be set to 1; otherwise it should be set to 0.
This value is automatically calculated.</t>
  </si>
  <si>
    <t>DERATE_ENABLE</t>
  </si>
  <si>
    <t>Enables derating
■0 - Timing parameter derating is disabled
■1 - Timing parameter derating is enabled using MR4 read value.
Present only in designs configured to support LPDDR4
This field must be set to '0' for non-LPDDR4 mode</t>
  </si>
  <si>
    <t>MR4_READ_INTERVAL</t>
  </si>
  <si>
    <t>Interval between two MR4 reads, used to derate the timing parameters.
Present only in designs configured to support LPDDR4. This register must not be set to zero.
Unit: DFI clock cycle.
The value used is the JEDEC recommended 32ms interval.</t>
  </si>
  <si>
    <t>DDRC_DERATEINT</t>
  </si>
  <si>
    <t>The following register is automatically updated from the Device Information table above and should NOT be manually changed.</t>
  </si>
  <si>
    <t>RANK1_RD_ODT</t>
  </si>
  <si>
    <t>Description: Indicates which remote ODTs must be turned on during a read from rank 1.
Each rank has a remote ODT (in the SDRAM) which can be turned on by setting the appropriate bit here.
Rank 0 is controlled by the LSB; rank 1 is controlled by bit next to the LSB and so on.
For each rank, set its bit to 1 to enable its ODT.
Value After Reset: 0x2</t>
  </si>
  <si>
    <t>DDRC_ODTMAP</t>
  </si>
  <si>
    <t>RANK1_WR_ODT</t>
  </si>
  <si>
    <t>Description: Indicates which remote ODTs must be turned on during a write to rank 1.
Each rank has a remote ODT (in the SDRAM) which can be turned on by setting the appropriate bit here.
Rank 0 is controlled by the LSB; rank 1 is controlled by bit next to the LSB and so on.
For each rank, set its bit to 1 to enable its ODT.
Value After Reset: 0x2</t>
  </si>
  <si>
    <t>RANK0_RD_ODT</t>
  </si>
  <si>
    <t>Description: Indicates which remote ODTs must be turned on during a read from rank 0.
Each rank has a remote ODT (in the SDRAM) which can be turned on by setting the appropriate bit here.
Rank 0 is controlled by the LSB; rank 1 is controlled by bit next to the LSB and so on.
For each rank, set its bit to 1 to enable its ODT.
Value After Reset: 0x1</t>
  </si>
  <si>
    <t>RANK0_WR_ODT</t>
  </si>
  <si>
    <t>Description: Indicates which remote ODTs must be turned on during a write to rank 0.
Each rank has a remote ODT (in the SDRAM) which can be turned on by setting the appropriate bit here.
Rank 0 is controlled by the LSB; rank 1 is controlled by bit next to the LSB and so on.
For each rank, set its bit to 1 to enable its ODT.
Value After Reset: 0x1</t>
  </si>
  <si>
    <t>lpddr4_sr_allowed</t>
  </si>
  <si>
    <t>Indicates whether transition from SR-PD to SR and back to SR-PD is allowed.
This register field cannot be modified while PWRCTL.selfref_sw==1.
■0 - SR-PD -&gt; SR -&gt; SR-PD not allowed
■1 - SR-PD -&gt; SR -&gt; SR-PD allowed
Value After Reset: 0x0</t>
  </si>
  <si>
    <t>DDRC_PWRCTL</t>
  </si>
  <si>
    <t>dis_cam_drain_selfref</t>
  </si>
  <si>
    <t>Indicates whether skipping CAM draining is allowed when entering Self-Refresh.
This register field cannot be modified while PWRCTL.selfref_sw==1.
■0 - CAMs must be empty before entering SR
■1 - CAMs are not emptied before entering SR
Value After Reset: 0x0</t>
  </si>
  <si>
    <t>stay_in_selfref</t>
  </si>
  <si>
    <t>Self refresh state is an intermediate state to enter to Self refresh power down state or exit Self refresh power down state for LPDDR4.
This register controls transition from the Self refresh state.
■1 - Prohibit transition from Self refresh state
■0 - Allow transition from Self refresh state
Value After Reset: 0x0</t>
  </si>
  <si>
    <t>selfref_sw</t>
  </si>
  <si>
    <t>A value of 1 to this register causes system to move to Self Refresh state immediately, as long as it is not in INIT or DPD/MPSM operating_mode. This is referred to as Software Entry/Exit to Self Refresh.
■1 - Software Entry to Self Refresh
■0 - Software Exit from Self Refresh
Value After Reset: 0x0</t>
  </si>
  <si>
    <t>mpsm_en</t>
  </si>
  <si>
    <t>When this is 1, the uMCTL2 puts the SDRAM into maximum power saving mode when the transaction store is empty.
This register must be reset to '0' to bring uMCTL2 out of maximum power saving mode.
Present only in designs configured to support DDR4. For non-DDR4, this register should not be set to 1.
Note that MPSM is not supported when using a Synopsys DWC DDR PHY, if the PHY parameter DWC_AC_CS_USE is disabled, as the MPSM exit sequence requires the chip-select signal to toggle.
FOR PERFORMANCE ONLY.
Value After Reset: 0x0</t>
  </si>
  <si>
    <t>en_dfi_dram_clk_disable</t>
  </si>
  <si>
    <t>Enable the assertion of dfi_dram_clk_disable whenever a clock is not required by the SDRAM.
If set to 0, dfi_dram_clk_disable is never asserted.
Assertion of dfi_dram_clk_disable is as follows:
In DDR2/DDR3, can only be asserted in Self Refresh.
In DDR4, can be asserted in following:
■in Self Refresh.
■in Maximum Power Saving Mode
In mDDR/LPDDR2/LPDDR3, can be asserted in following:
■in Self Refresh
■in Power Down
■in Deep Power Down
■during Normal operation (Clock Stop)
In LPDDR4, can be asserted in following:
■in Self Refresh Power Down
■in Power Down
■during Normal operation (Clock Stop)
Value After Reset: 0x0</t>
  </si>
  <si>
    <t>deeppowerdown_en</t>
  </si>
  <si>
    <t>When this is 1, uMCTL2 puts the SDRAM into deep power-down mode when the transaction store is empty.
This register must be reset to '0' to bring uMCTL2 out of deep power-down mode. Controller performs automatic SDRAM initialization on deep power-down exit.
Present only in designs configured to support mDDR or LPDDR2 or LPDDR3. For non-mDDR/non-LPDDR2/non-LPDDR3, this register should not be set to 1.
FOR PERFORMANCE ONLY.
Value After Reset: 0x0</t>
  </si>
  <si>
    <t>powerdown_en</t>
  </si>
  <si>
    <t>If true then the uMCTL2 goes into power-down after a programmable number of cycles "maximum idle clocks before power down" (PWRTMG.powerdown_to_x32).
This register bit may be re-programmed during the course of normal operation.
Value After Reset: 0x0</t>
  </si>
  <si>
    <t>selfref_en</t>
  </si>
  <si>
    <t>If true then the uMCTL2 puts the SDRAM into Self Refresh after a programmable number of cycles "maximum idle clocks before Self Refresh (PWRTMG.selfref_to_x32)". This register bit may be re-programmed during the course of normal operation.
Value After Reset: 0x0</t>
  </si>
  <si>
    <t>Mode register programming - CONFIGURABLE BASED ON DRAM TYPE</t>
  </si>
  <si>
    <t>Mode Register Settings are the same for all Chip Selects. 
Look for the supported memory type and fill in the parameters for that memory type.</t>
  </si>
  <si>
    <t>DDRC MR and EMR:
LPDDR4/LPDDR3/LPDDR2 MR1 and MR2 Register Settings
or
DDR3 MR0 and MR1 Register Settings</t>
  </si>
  <si>
    <r>
      <rPr>
        <rFont val="Arial"/>
        <b/>
        <color theme="1"/>
        <sz val="10.0"/>
      </rPr>
      <t>MR</t>
    </r>
    <r>
      <rPr>
        <rFont val="Arial"/>
        <color theme="1"/>
        <sz val="10.0"/>
      </rPr>
      <t xml:space="preserve">
LPDDR4 </t>
    </r>
    <r>
      <rPr>
        <rFont val="Arial"/>
        <b/>
        <color theme="1"/>
        <sz val="10.0"/>
      </rPr>
      <t>MR1:</t>
    </r>
    <r>
      <rPr>
        <rFont val="Arial"/>
        <color theme="1"/>
        <sz val="10.0"/>
      </rPr>
      <t xml:space="preserve"> RPST (RD Post-Amble Length)</t>
    </r>
  </si>
  <si>
    <r>
      <rPr>
        <rFont val="Arial"/>
        <b/>
        <color theme="1"/>
        <sz val="10.0"/>
      </rPr>
      <t>LPDDR4 MR1:</t>
    </r>
    <r>
      <rPr>
        <rFont val="Arial"/>
        <color theme="1"/>
        <sz val="10.0"/>
      </rPr>
      <t xml:space="preserve">
Read Post-amble length
0B: RD Post-amble = 0.5*tCK (default)
1B: RD Post-amble = 1.5*tCK
For m850, recommend to set to 1.5*tCK to account for restrictions in the PHY.</t>
    </r>
  </si>
  <si>
    <t>DDRC_INIT3</t>
  </si>
  <si>
    <r>
      <rPr>
        <rFont val="Arial"/>
        <b/>
        <color theme="1"/>
        <sz val="10.0"/>
      </rPr>
      <t>MR</t>
    </r>
    <r>
      <rPr>
        <rFont val="Arial"/>
        <color theme="1"/>
        <sz val="10.0"/>
      </rPr>
      <t xml:space="preserve">
LPDDR4 </t>
    </r>
    <r>
      <rPr>
        <rFont val="Arial"/>
        <b/>
        <color theme="1"/>
        <sz val="10.0"/>
      </rPr>
      <t>MR1:</t>
    </r>
    <r>
      <rPr>
        <rFont val="Arial"/>
        <color theme="1"/>
        <sz val="10.0"/>
      </rPr>
      <t xml:space="preserve"> nWR (Write-Recovery for Auto-Pre-charge commands)</t>
    </r>
  </si>
  <si>
    <r>
      <rPr>
        <rFont val="Arial"/>
        <b/>
        <color theme="1"/>
        <sz val="10.0"/>
      </rPr>
      <t>LPDDR4 MR1:</t>
    </r>
    <r>
      <rPr>
        <rFont val="Arial"/>
        <color theme="1"/>
        <sz val="10.0"/>
      </rPr>
      <t xml:space="preserve">
Write-Recovery for Auto-Pre-charge commands
000B: nWR = 6 (default)
001B: nWR = 10
010B: nWR = 16
011B: nWR = 20
100B: nWR = 24
101B: nWR = 30
110B: nWR = 34
111B: nWR = 40
Some LPDDR4 memory vendor data sheets contain a RL, WL, and nWR settings table for various frequency ranges.
This setting is automatically calculated.</t>
    </r>
  </si>
  <si>
    <r>
      <rPr>
        <rFont val="Arial"/>
        <b/>
        <color theme="1"/>
        <sz val="10.0"/>
      </rPr>
      <t>MR</t>
    </r>
    <r>
      <rPr>
        <rFont val="Arial"/>
        <color theme="1"/>
        <sz val="10.0"/>
      </rPr>
      <t xml:space="preserve">
LPDDR4 </t>
    </r>
    <r>
      <rPr>
        <rFont val="Arial"/>
        <b/>
        <color theme="1"/>
        <sz val="10.0"/>
      </rPr>
      <t>MR1:</t>
    </r>
    <r>
      <rPr>
        <rFont val="Arial"/>
        <color theme="1"/>
        <sz val="10.0"/>
      </rPr>
      <t xml:space="preserve"> RD-PRE (RD Pre-amble Type)</t>
    </r>
  </si>
  <si>
    <r>
      <rPr>
        <rFont val="Arial"/>
        <b/>
        <color theme="1"/>
        <sz val="10.0"/>
      </rPr>
      <t>LPDDR4 MR1:</t>
    </r>
    <r>
      <rPr>
        <rFont val="Arial"/>
        <color theme="1"/>
        <sz val="10.0"/>
      </rPr>
      <t xml:space="preserve">
Read Pre-amble Type
0B: RD Pre-amble = Static (default)
1B: RD Pre-amble = Toggle</t>
    </r>
  </si>
  <si>
    <r>
      <rPr>
        <rFont val="Arial"/>
        <b/>
        <color theme="1"/>
        <sz val="10.0"/>
      </rPr>
      <t>MR</t>
    </r>
    <r>
      <rPr>
        <rFont val="Arial"/>
        <color theme="1"/>
        <sz val="10.0"/>
      </rPr>
      <t xml:space="preserve">
LPDDR4 </t>
    </r>
    <r>
      <rPr>
        <rFont val="Arial"/>
        <b/>
        <color theme="1"/>
        <sz val="10.0"/>
      </rPr>
      <t>MR1:</t>
    </r>
    <r>
      <rPr>
        <rFont val="Arial"/>
        <color theme="1"/>
        <sz val="10.0"/>
      </rPr>
      <t xml:space="preserve"> WR-PRE (WR Pre-amble Length)</t>
    </r>
  </si>
  <si>
    <r>
      <rPr>
        <rFont val="Arial"/>
        <b/>
        <color theme="1"/>
        <sz val="10.0"/>
      </rPr>
      <t>LPDDR4 MR1:</t>
    </r>
    <r>
      <rPr>
        <rFont val="Arial"/>
        <color theme="1"/>
        <sz val="10.0"/>
      </rPr>
      <t xml:space="preserve">
Write Pre-amble Length
0B: Reserved
1B: WR Pre-amble = 2*tCK</t>
    </r>
  </si>
  <si>
    <r>
      <rPr>
        <rFont val="Arial"/>
        <b/>
        <color theme="1"/>
        <sz val="10.0"/>
      </rPr>
      <t>MR</t>
    </r>
    <r>
      <rPr>
        <rFont val="Arial"/>
        <color theme="1"/>
        <sz val="10.0"/>
      </rPr>
      <t xml:space="preserve">
LPDDR4 </t>
    </r>
    <r>
      <rPr>
        <rFont val="Arial"/>
        <b/>
        <color theme="1"/>
        <sz val="10.0"/>
      </rPr>
      <t>MR1:</t>
    </r>
    <r>
      <rPr>
        <rFont val="Arial"/>
        <color theme="1"/>
        <sz val="10.0"/>
      </rPr>
      <t xml:space="preserve"> BL (Burst Length)</t>
    </r>
  </si>
  <si>
    <r>
      <rPr>
        <rFont val="Arial"/>
        <b/>
        <color theme="1"/>
        <sz val="10.0"/>
      </rPr>
      <t>LPDDR4 MR1:</t>
    </r>
    <r>
      <rPr>
        <rFont val="Arial"/>
        <color theme="1"/>
        <sz val="10.0"/>
      </rPr>
      <t xml:space="preserve">
Burst Length
00B: BL=16 Sequential (default)
01B: BL=32 Sequential
10B: BL=16 or 32 Sequential (on-the-fly)
All Others: Reserved</t>
    </r>
  </si>
  <si>
    <r>
      <rPr>
        <rFont val="Arial"/>
        <b/>
        <color theme="1"/>
        <sz val="10.0"/>
      </rPr>
      <t>EMR</t>
    </r>
    <r>
      <rPr>
        <rFont val="Arial"/>
        <color theme="1"/>
        <sz val="10.0"/>
      </rPr>
      <t xml:space="preserve">
LPDDR4 </t>
    </r>
    <r>
      <rPr>
        <rFont val="Arial"/>
        <b/>
        <color theme="1"/>
        <sz val="10.0"/>
      </rPr>
      <t>MR2:</t>
    </r>
    <r>
      <rPr>
        <rFont val="Arial"/>
        <color theme="1"/>
        <sz val="10.0"/>
      </rPr>
      <t xml:space="preserve"> WR Lev (Write Leveling)</t>
    </r>
  </si>
  <si>
    <r>
      <rPr>
        <rFont val="Arial"/>
        <b/>
        <color theme="1"/>
        <sz val="10.0"/>
      </rPr>
      <t>LPDDR4 MR2:</t>
    </r>
    <r>
      <rPr>
        <rFont val="Arial"/>
        <color theme="1"/>
        <sz val="10.0"/>
      </rPr>
      <t xml:space="preserve">
Enable write leveling
0B: Disabled (default)
1B: Enabled</t>
    </r>
  </si>
  <si>
    <r>
      <rPr>
        <rFont val="Arial"/>
        <b/>
        <color theme="1"/>
        <sz val="10.0"/>
      </rPr>
      <t>EMR</t>
    </r>
    <r>
      <rPr>
        <rFont val="Arial"/>
        <color theme="1"/>
        <sz val="10.0"/>
      </rPr>
      <t xml:space="preserve">
LPDDR4 </t>
    </r>
    <r>
      <rPr>
        <rFont val="Arial"/>
        <b/>
        <color theme="1"/>
        <sz val="10.0"/>
      </rPr>
      <t>MR2:</t>
    </r>
    <r>
      <rPr>
        <rFont val="Arial"/>
        <color theme="1"/>
        <sz val="10.0"/>
      </rPr>
      <t xml:space="preserve"> WLS (Write Latency Set)</t>
    </r>
  </si>
  <si>
    <r>
      <rPr>
        <rFont val="Arial"/>
        <b/>
        <color theme="1"/>
        <sz val="10.0"/>
      </rPr>
      <t>LPDDR4 MR2:</t>
    </r>
    <r>
      <rPr>
        <rFont val="Arial"/>
        <color theme="1"/>
        <sz val="10.0"/>
      </rPr>
      <t xml:space="preserve">
Write latency set: MR2 OP[6] setting
0B: WL set "A" (default)
1B: WL set "B"</t>
    </r>
  </si>
  <si>
    <r>
      <rPr>
        <rFont val="Arial"/>
        <b/>
        <color theme="1"/>
        <sz val="10.0"/>
      </rPr>
      <t>EMR</t>
    </r>
    <r>
      <rPr>
        <rFont val="Arial"/>
        <color theme="1"/>
        <sz val="10.0"/>
      </rPr>
      <t xml:space="preserve">
LPDDR4 </t>
    </r>
    <r>
      <rPr>
        <rFont val="Arial"/>
        <b/>
        <color theme="1"/>
        <sz val="10.0"/>
      </rPr>
      <t>MR2:</t>
    </r>
    <r>
      <rPr>
        <rFont val="Arial"/>
        <color theme="1"/>
        <sz val="10.0"/>
      </rPr>
      <t xml:space="preserve"> WL (Write Latency)</t>
    </r>
  </si>
  <si>
    <r>
      <rPr>
        <rFont val="Arial"/>
        <b/>
        <color theme="1"/>
        <sz val="10.0"/>
      </rPr>
      <t>LPDDR4 MR2:
IMPORTANT: Make sure to match WL setting with DDRC_DRAMTMG2[WRITE_LATENCY]
This setting is automatically calculated.</t>
    </r>
    <r>
      <rPr>
        <rFont val="Arial"/>
        <color theme="1"/>
        <sz val="10.0"/>
      </rPr>
      <t xml:space="preserve">
</t>
    </r>
    <r>
      <rPr>
        <rFont val="Arial"/>
        <color theme="1"/>
        <sz val="8.0"/>
      </rPr>
      <t>WL Set "A” (if Write Latency Set MR2 OP[6]=0B)
000B: WL=4 (Default)
001B: WL=6
010B: WL=8
011B: WL=10
100B: WL=12
101B: WL=14
110B: WL=16
111B: WL=18
WL Set "B" (if Write Latency Set MR2 OP[6]=1B)
000B: WL=4
001B: WL=8
010B: WL=12
011B: WL=18
100B: WL=22
101B: WL=26
110B: WL=30
111B: WL=34</t>
    </r>
  </si>
  <si>
    <r>
      <rPr>
        <rFont val="Arial"/>
        <b/>
        <color theme="1"/>
        <sz val="10.0"/>
      </rPr>
      <t>EMR</t>
    </r>
    <r>
      <rPr>
        <rFont val="Arial"/>
        <color theme="1"/>
        <sz val="10.0"/>
      </rPr>
      <t xml:space="preserve">
LPDDR4 </t>
    </r>
    <r>
      <rPr>
        <rFont val="Arial"/>
        <b/>
        <color theme="1"/>
        <sz val="10.0"/>
      </rPr>
      <t>MR2:</t>
    </r>
    <r>
      <rPr>
        <rFont val="Arial"/>
        <color theme="1"/>
        <sz val="10.0"/>
      </rPr>
      <t xml:space="preserve"> RL (Read Latency)</t>
    </r>
  </si>
  <si>
    <r>
      <rPr>
        <rFont val="Arial"/>
        <b/>
        <color theme="1"/>
        <sz val="10.0"/>
      </rPr>
      <t>LPDDR4 MR2:
IMPORTANT: Make sure to match RL setting with DDRC_DRAMTMG2[READ_LATENCY]
This setting is automatically calculated.</t>
    </r>
    <r>
      <rPr>
        <rFont val="Arial"/>
        <color theme="1"/>
        <sz val="10.0"/>
      </rPr>
      <t xml:space="preserve">
</t>
    </r>
    <r>
      <rPr>
        <rFont val="Arial"/>
        <color theme="1"/>
        <sz val="8.0"/>
      </rPr>
      <t>RL &amp; nRTP for DBI-RD Disabled (MR3 OP[6]=0B)
000B: RL=6, nRTP = 8 (Default)
001B: RL=10, nRTP = 8
010B: RL=14, nRTP = 8
011B: RL=20, nRTP = 8
100B: RL=24, nRTP = 10
101B: RL=28, nRTP = 12
110B: RL=32, nRTP = 14
111B: RL=36, nRTP = 16
RL &amp; nRTP for DBI-RD Enabled (MR3 OP[6]=1B)
000B: RL=6, nRTP = 8
001B: RL=12, nRTP = 8
010B: RL=16, nRTP = 8
011B: RL=22, nRTP = 8
100B: RL=28, nRTP = 10
101B: RL=32, nRTP = 12
110B: RL=36, nRTP = 14
111B: RL=40, nRTP = 16</t>
    </r>
  </si>
  <si>
    <t>DDRC EMR and EMR3:
LPDDR4/LPDDR3/LPDDR2 MR3 Register Settings 
or
DDR3 MR2 and MR3 Register Settings</t>
  </si>
  <si>
    <r>
      <rPr>
        <rFont val="Arial"/>
        <b/>
        <color theme="1"/>
        <sz val="10.0"/>
      </rPr>
      <t>EMR2</t>
    </r>
    <r>
      <rPr>
        <rFont val="Arial"/>
        <color theme="1"/>
        <sz val="10.0"/>
      </rPr>
      <t xml:space="preserve">
LPDDR4 </t>
    </r>
    <r>
      <rPr>
        <rFont val="Arial"/>
        <b/>
        <color theme="1"/>
        <sz val="10.0"/>
      </rPr>
      <t>MR3:</t>
    </r>
    <r>
      <rPr>
        <rFont val="Arial"/>
        <color theme="1"/>
        <sz val="10.0"/>
      </rPr>
      <t xml:space="preserve"> DBI-WR (DBI-WRITE Enable)</t>
    </r>
  </si>
  <si>
    <r>
      <rPr>
        <rFont val="Arial"/>
        <b/>
        <color theme="1"/>
        <sz val="10.0"/>
      </rPr>
      <t xml:space="preserve">LPDDR4 MR3:
</t>
    </r>
    <r>
      <rPr>
        <rFont val="Arial"/>
        <b val="0"/>
        <color theme="1"/>
        <sz val="10.0"/>
      </rPr>
      <t>DBI-WR</t>
    </r>
    <r>
      <rPr>
        <rFont val="Arial"/>
        <b/>
        <color theme="1"/>
        <sz val="10.0"/>
      </rPr>
      <t xml:space="preserve">
</t>
    </r>
    <r>
      <rPr>
        <rFont val="Arial"/>
        <b val="0"/>
        <color theme="1"/>
        <sz val="10.0"/>
      </rPr>
      <t>0B: Disabled (default)
1B: Enabled</t>
    </r>
  </si>
  <si>
    <t>DDRC_INIT4</t>
  </si>
  <si>
    <r>
      <rPr>
        <rFont val="Arial"/>
        <b/>
        <color theme="1"/>
        <sz val="10.0"/>
      </rPr>
      <t>EMR2</t>
    </r>
    <r>
      <rPr>
        <rFont val="Arial"/>
        <color theme="1"/>
        <sz val="10.0"/>
      </rPr>
      <t xml:space="preserve">
LPDDR4 </t>
    </r>
    <r>
      <rPr>
        <rFont val="Arial"/>
        <b/>
        <color theme="1"/>
        <sz val="10.0"/>
      </rPr>
      <t>MR3:</t>
    </r>
    <r>
      <rPr>
        <rFont val="Arial"/>
        <color theme="1"/>
        <sz val="10.0"/>
      </rPr>
      <t xml:space="preserve"> DBI-RD (DBI-READ Enable)</t>
    </r>
  </si>
  <si>
    <r>
      <rPr>
        <rFont val="Arial"/>
        <b/>
        <color theme="1"/>
        <sz val="10.0"/>
      </rPr>
      <t xml:space="preserve">LPDDR4 MR3:
</t>
    </r>
    <r>
      <rPr>
        <rFont val="Arial"/>
        <b val="0"/>
        <color theme="1"/>
        <sz val="10.0"/>
      </rPr>
      <t>DBI-RD</t>
    </r>
    <r>
      <rPr>
        <rFont val="Arial"/>
        <b/>
        <color theme="1"/>
        <sz val="10.0"/>
      </rPr>
      <t xml:space="preserve">
</t>
    </r>
    <r>
      <rPr>
        <rFont val="Arial"/>
        <b val="0"/>
        <color theme="1"/>
        <sz val="10.0"/>
      </rPr>
      <t>0B: Disabled (default)
1B: Enabled</t>
    </r>
  </si>
  <si>
    <r>
      <rPr>
        <rFont val="Arial"/>
        <b/>
        <color theme="1"/>
        <sz val="10.0"/>
      </rPr>
      <t>EMR2</t>
    </r>
    <r>
      <rPr>
        <rFont val="Arial"/>
        <color theme="1"/>
        <sz val="10.0"/>
      </rPr>
      <t xml:space="preserve">
LPDDR4 </t>
    </r>
    <r>
      <rPr>
        <rFont val="Arial"/>
        <b/>
        <color theme="1"/>
        <sz val="10.0"/>
      </rPr>
      <t>MR3:</t>
    </r>
    <r>
      <rPr>
        <rFont val="Arial"/>
        <color theme="1"/>
        <sz val="10.0"/>
      </rPr>
      <t xml:space="preserve"> PDDS (Pull-Down Drive Strength)</t>
    </r>
  </si>
  <si>
    <r>
      <rPr>
        <rFont val="Arial"/>
        <b/>
        <color theme="1"/>
        <sz val="10.0"/>
      </rPr>
      <t xml:space="preserve">LPDDR4 MR3:
</t>
    </r>
    <r>
      <rPr>
        <rFont val="Arial"/>
        <b val="0"/>
        <color theme="1"/>
        <sz val="10.0"/>
      </rPr>
      <t>PDDS</t>
    </r>
    <r>
      <rPr>
        <rFont val="Arial"/>
        <b/>
        <color theme="1"/>
        <sz val="10.0"/>
      </rPr>
      <t xml:space="preserve">
</t>
    </r>
    <r>
      <rPr>
        <rFont val="Arial"/>
        <b val="0"/>
        <color theme="1"/>
        <sz val="10.0"/>
      </rPr>
      <t>000B: RFU
001B: RZQ/1
010B: RZQ/2
011B: RZQ/3
100B: RZQ/4
101B: RZQ/5
110B: RZQ/6 (default)
111B: Reserved</t>
    </r>
  </si>
  <si>
    <r>
      <rPr>
        <rFont val="Arial"/>
        <b/>
        <color theme="1"/>
        <sz val="10.0"/>
      </rPr>
      <t>EMR2</t>
    </r>
    <r>
      <rPr>
        <rFont val="Arial"/>
        <color theme="1"/>
        <sz val="10.0"/>
      </rPr>
      <t xml:space="preserve">
LPDDR4 </t>
    </r>
    <r>
      <rPr>
        <rFont val="Arial"/>
        <b/>
        <color theme="1"/>
        <sz val="10.0"/>
      </rPr>
      <t>MR3:</t>
    </r>
    <r>
      <rPr>
        <rFont val="Arial"/>
        <color theme="1"/>
        <sz val="10.0"/>
      </rPr>
      <t xml:space="preserve"> Post Package Repair Protection</t>
    </r>
  </si>
  <si>
    <r>
      <rPr>
        <rFont val="Arial"/>
        <b/>
        <color theme="1"/>
        <sz val="10.0"/>
      </rPr>
      <t xml:space="preserve">LPDDR4 MR3:
</t>
    </r>
    <r>
      <rPr>
        <rFont val="Arial"/>
        <b val="0"/>
        <color theme="1"/>
        <sz val="10.0"/>
      </rPr>
      <t>PPRP
0B: PPR protection disabled (default)
1B: PPR protection enabled</t>
    </r>
  </si>
  <si>
    <r>
      <rPr>
        <rFont val="Arial"/>
        <b/>
        <color theme="1"/>
        <sz val="10.0"/>
      </rPr>
      <t>EMR2</t>
    </r>
    <r>
      <rPr>
        <rFont val="Arial"/>
        <color theme="1"/>
        <sz val="10.0"/>
      </rPr>
      <t xml:space="preserve">
LPDDR4 </t>
    </r>
    <r>
      <rPr>
        <rFont val="Arial"/>
        <b/>
        <color theme="1"/>
        <sz val="10.0"/>
      </rPr>
      <t>MR3:</t>
    </r>
    <r>
      <rPr>
        <rFont val="Arial"/>
        <color theme="1"/>
        <sz val="10.0"/>
      </rPr>
      <t xml:space="preserve"> WR PST (WR Post-Amble Length)</t>
    </r>
  </si>
  <si>
    <r>
      <rPr>
        <rFont val="Arial"/>
        <b/>
        <color theme="1"/>
        <sz val="10.0"/>
      </rPr>
      <t xml:space="preserve">LPDDR4 MR3:
</t>
    </r>
    <r>
      <rPr>
        <rFont val="Arial"/>
        <b val="0"/>
        <color theme="1"/>
        <sz val="10.0"/>
      </rPr>
      <t>WR PST
0B: WR Post-amble = 0.5*tCK (default)
1B: WR Post-amble = 1.5*tCK(Vendor specific
function)</t>
    </r>
  </si>
  <si>
    <r>
      <rPr>
        <rFont val="Arial"/>
        <b/>
        <color theme="1"/>
        <sz val="10.0"/>
      </rPr>
      <t>EMR2</t>
    </r>
    <r>
      <rPr>
        <rFont val="Arial"/>
        <color theme="1"/>
        <sz val="10.0"/>
      </rPr>
      <t xml:space="preserve">
LPDDR4 </t>
    </r>
    <r>
      <rPr>
        <rFont val="Arial"/>
        <b/>
        <color theme="1"/>
        <sz val="10.0"/>
      </rPr>
      <t>MR3:</t>
    </r>
    <r>
      <rPr>
        <rFont val="Arial"/>
        <color theme="1"/>
        <sz val="10.0"/>
      </rPr>
      <t xml:space="preserve"> PU-Cal (Pull-up Calibration Point)</t>
    </r>
  </si>
  <si>
    <r>
      <rPr>
        <rFont val="Arial"/>
        <b/>
        <color theme="1"/>
        <sz val="10.0"/>
      </rPr>
      <t xml:space="preserve">LPDDR4 MR3:
</t>
    </r>
    <r>
      <rPr>
        <rFont val="Arial"/>
        <b val="0"/>
        <color theme="1"/>
        <sz val="10.0"/>
      </rPr>
      <t>PU-CAL
0B: VDDQ/2.5
1B: VDDQ/3 (default)</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</si>
  <si>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FSP-OP (Frequency Set Point Operation Mode)</t>
    </r>
  </si>
  <si>
    <r>
      <rPr>
        <rFont val="Arial"/>
        <b/>
        <color theme="1"/>
        <sz val="10.0"/>
      </rPr>
      <t xml:space="preserve">LPDDR4 MR13:
</t>
    </r>
    <r>
      <rPr>
        <rFont val="Arial"/>
        <b val="0"/>
        <color theme="1"/>
        <sz val="10.0"/>
      </rPr>
      <t>FSP-OP
0B: Frequency-Set-Point[0] (default)
1B: Frequency-Set-Point [1]</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</si>
  <si>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FSP-WR (Frequency Set Point Write Enable)</t>
    </r>
  </si>
  <si>
    <r>
      <rPr>
        <rFont val="Arial"/>
        <b/>
        <color theme="1"/>
        <sz val="10.0"/>
      </rPr>
      <t xml:space="preserve">LPDDR4 MR13:
</t>
    </r>
    <r>
      <rPr>
        <rFont val="Arial"/>
        <b val="0"/>
        <color theme="1"/>
        <sz val="10.0"/>
      </rPr>
      <t>FSP-WR</t>
    </r>
    <r>
      <rPr>
        <rFont val="Arial"/>
        <b/>
        <color theme="1"/>
        <sz val="10.0"/>
      </rPr>
      <t xml:space="preserve">
</t>
    </r>
    <r>
      <rPr>
        <rFont val="Arial"/>
        <b val="0"/>
        <color theme="1"/>
        <sz val="10.0"/>
      </rPr>
      <t>0B: Frequency-Set-Point[0] (default)
1B: Frequency-Set-Point [1]</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</si>
  <si>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DMD (Data Mask Disable)</t>
    </r>
  </si>
  <si>
    <r>
      <rPr>
        <rFont val="Arial"/>
        <b/>
        <color theme="1"/>
        <sz val="10.0"/>
      </rPr>
      <t xml:space="preserve">LPDDR4 MR13:
</t>
    </r>
    <r>
      <rPr>
        <rFont val="Arial"/>
        <b val="0"/>
        <color theme="1"/>
        <sz val="10.0"/>
      </rPr>
      <t>DMD</t>
    </r>
    <r>
      <rPr>
        <rFont val="Arial"/>
        <b/>
        <color theme="1"/>
        <sz val="10.0"/>
      </rPr>
      <t xml:space="preserve">
</t>
    </r>
    <r>
      <rPr>
        <rFont val="Arial"/>
        <b val="0"/>
        <color theme="1"/>
        <sz val="10.0"/>
      </rPr>
      <t>0B: Data Mask Operation Enabled (default)
1B: Data Mask Operation Disabled</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</si>
  <si>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RRO Refresh rate option</t>
    </r>
  </si>
  <si>
    <r>
      <rPr>
        <rFont val="Arial"/>
        <b/>
        <color theme="1"/>
        <sz val="10.0"/>
      </rPr>
      <t xml:space="preserve">LPDDR4 MR13:
</t>
    </r>
    <r>
      <rPr>
        <rFont val="Arial"/>
        <b val="0"/>
        <color theme="1"/>
        <sz val="10.0"/>
      </rPr>
      <t>RRO</t>
    </r>
    <r>
      <rPr>
        <rFont val="Arial"/>
        <b/>
        <color theme="1"/>
        <sz val="10.0"/>
      </rPr>
      <t xml:space="preserve">
</t>
    </r>
    <r>
      <rPr>
        <rFont val="Arial"/>
        <b val="0"/>
        <color theme="1"/>
        <sz val="10.0"/>
      </rPr>
      <t>0B: Disable codes 001 and 010 in MR4 OP[2:0]
1B: Enable all codes in MR4 OP[2:0]</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</si>
  <si>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VRCG (VREF Current Generator)</t>
    </r>
  </si>
  <si>
    <r>
      <rPr>
        <rFont val="Arial"/>
        <b/>
        <color theme="1"/>
        <sz val="10.0"/>
      </rPr>
      <t xml:space="preserve">LPDDR4 MR13:
</t>
    </r>
    <r>
      <rPr>
        <rFont val="Arial"/>
        <b val="0"/>
        <color theme="1"/>
        <sz val="10.0"/>
      </rPr>
      <t>VRCG</t>
    </r>
    <r>
      <rPr>
        <rFont val="Arial"/>
        <b/>
        <color theme="1"/>
        <sz val="10.0"/>
      </rPr>
      <t xml:space="preserve">
</t>
    </r>
    <r>
      <rPr>
        <rFont val="Arial"/>
        <b val="0"/>
        <color theme="1"/>
        <sz val="10.0"/>
      </rPr>
      <t>0B: Normal Operation (default)
1B: VREF Fast Response (high current) mode
Recommend to set to 1 for PHY purposes for high speed operation.</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</si>
  <si>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VRO (VREF Output)</t>
    </r>
  </si>
  <si>
    <r>
      <rPr>
        <rFont val="Arial"/>
        <b/>
        <color theme="1"/>
        <sz val="10.0"/>
      </rPr>
      <t xml:space="preserve">LPDDR4 MR13:
</t>
    </r>
    <r>
      <rPr>
        <rFont val="Arial"/>
        <b val="0"/>
        <color theme="1"/>
        <sz val="10.0"/>
      </rPr>
      <t>VRO</t>
    </r>
    <r>
      <rPr>
        <rFont val="Arial"/>
        <b/>
        <color theme="1"/>
        <sz val="10.0"/>
      </rPr>
      <t xml:space="preserve">
</t>
    </r>
    <r>
      <rPr>
        <rFont val="Arial"/>
        <b val="0"/>
        <color theme="1"/>
        <sz val="10.0"/>
      </rPr>
      <t>0B: Normal operation (default)
1B: Output the VREF(ca) and VREF(dq) values on DQ bits</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</si>
  <si>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RPT (Read Preamble Training Mode)</t>
    </r>
  </si>
  <si>
    <r>
      <rPr>
        <rFont val="Arial"/>
        <b/>
        <color theme="1"/>
        <sz val="10.0"/>
      </rPr>
      <t xml:space="preserve">LPDDR4 MR13:
</t>
    </r>
    <r>
      <rPr>
        <rFont val="Arial"/>
        <b val="0"/>
        <color theme="1"/>
        <sz val="10.0"/>
      </rPr>
      <t>RPT</t>
    </r>
    <r>
      <rPr>
        <rFont val="Arial"/>
        <b/>
        <color theme="1"/>
        <sz val="10.0"/>
      </rPr>
      <t xml:space="preserve">
</t>
    </r>
    <r>
      <rPr>
        <rFont val="Arial"/>
        <b val="0"/>
        <color theme="1"/>
        <sz val="10.0"/>
      </rPr>
      <t>0B : Disable (default)
1B : Enable</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</si>
  <si>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CBT (Command Bus Training)</t>
    </r>
  </si>
  <si>
    <r>
      <rPr>
        <rFont val="Arial"/>
        <b/>
        <color theme="1"/>
        <sz val="10.0"/>
      </rPr>
      <t xml:space="preserve">LPDDR4 MR13:
</t>
    </r>
    <r>
      <rPr>
        <rFont val="Arial"/>
        <b val="0"/>
        <color theme="1"/>
        <sz val="10.0"/>
      </rPr>
      <t>CBT
0B: Normal Operation (default)
1B: Command Bus Training Mode Enabled</t>
    </r>
  </si>
  <si>
    <r>
      <rPr>
        <rFont val="Arial"/>
        <color theme="1"/>
        <sz val="10.0"/>
      </rPr>
      <t xml:space="preserve">LPDDR4 </t>
    </r>
    <r>
      <rPr>
        <rFont val="Arial"/>
        <b/>
        <color theme="1"/>
        <sz val="10.0"/>
      </rPr>
      <t>MR11</t>
    </r>
    <r>
      <rPr>
        <rFont val="Arial"/>
        <color theme="1"/>
        <sz val="10.0"/>
      </rPr>
      <t>: CA ODT</t>
    </r>
  </si>
  <si>
    <r>
      <rPr>
        <rFont val="Arial"/>
        <b/>
        <color theme="1"/>
        <sz val="10.0"/>
      </rPr>
      <t xml:space="preserve">LPDDR4 MR11:
</t>
    </r>
    <r>
      <rPr>
        <rFont val="Arial"/>
        <b val="0"/>
        <color theme="1"/>
        <sz val="10.0"/>
      </rPr>
      <t>CA ODT</t>
    </r>
    <r>
      <rPr>
        <rFont val="Arial"/>
        <b/>
        <color theme="1"/>
        <sz val="10.0"/>
      </rPr>
      <t xml:space="preserve">
</t>
    </r>
    <r>
      <rPr>
        <rFont val="Arial"/>
        <b val="0"/>
        <color theme="1"/>
        <sz val="10.0"/>
      </rPr>
      <t>000b: Disable (default)
001b: RZQ/1
010b: RZQ/2
011b: RZQ/3
100b: RZQ/4
101b: RZQ/5
110b: RZQ/6
111b: RFU</t>
    </r>
  </si>
  <si>
    <t>DDRC_INIT6</t>
  </si>
  <si>
    <r>
      <rPr>
        <rFont val="Arial"/>
        <color theme="1"/>
        <sz val="10.0"/>
      </rPr>
      <t xml:space="preserve">LPDDR4 </t>
    </r>
    <r>
      <rPr>
        <rFont val="Arial"/>
        <b/>
        <color theme="1"/>
        <sz val="10.0"/>
      </rPr>
      <t>MR11</t>
    </r>
    <r>
      <rPr>
        <rFont val="Arial"/>
        <color theme="1"/>
        <sz val="10.0"/>
      </rPr>
      <t>: DQ ODT</t>
    </r>
  </si>
  <si>
    <r>
      <rPr>
        <rFont val="Arial"/>
        <b/>
        <color theme="1"/>
        <sz val="10.0"/>
      </rPr>
      <t xml:space="preserve">LPDDR4 MR11:
</t>
    </r>
    <r>
      <rPr>
        <rFont val="Arial"/>
        <color theme="1"/>
        <sz val="10.0"/>
      </rPr>
      <t>000b: Disable (default)
001b: RZQ/1
010b: RZQ/2
011b: RZQ/3
100b: RZQ/4
101b: RZQ/5
110b: RZQ/6
111b: RFU</t>
    </r>
  </si>
  <si>
    <r>
      <rPr>
        <rFont val="Arial"/>
        <color theme="1"/>
        <sz val="10.0"/>
      </rPr>
      <t xml:space="preserve">LPDDR4 </t>
    </r>
    <r>
      <rPr>
        <rFont val="Arial"/>
        <b/>
        <color theme="1"/>
        <sz val="10.0"/>
      </rPr>
      <t>MR12</t>
    </r>
    <r>
      <rPr>
        <rFont val="Arial"/>
        <color theme="1"/>
        <sz val="10.0"/>
      </rPr>
      <t>: VRCA</t>
    </r>
  </si>
  <si>
    <r>
      <rPr>
        <rFont val="Arial"/>
        <b/>
        <color theme="1"/>
        <sz val="10.0"/>
      </rPr>
      <t>LPDDR4 MR12:</t>
    </r>
    <r>
      <rPr>
        <rFont val="Arial"/>
        <color theme="1"/>
        <sz val="10.0"/>
      </rPr>
      <t xml:space="preserve">
0b: VREF(CA) range[0] enabled
1b: VREF(CA) range[1] enabled (default)</t>
    </r>
  </si>
  <si>
    <r>
      <rPr>
        <rFont val="Arial"/>
        <color theme="1"/>
        <sz val="10.0"/>
      </rPr>
      <t xml:space="preserve">LPDDR4 </t>
    </r>
    <r>
      <rPr>
        <rFont val="Arial"/>
        <b/>
        <color theme="1"/>
        <sz val="10.0"/>
      </rPr>
      <t>MR12</t>
    </r>
    <r>
      <rPr>
        <rFont val="Arial"/>
        <color theme="1"/>
        <sz val="10.0"/>
      </rPr>
      <t>: VREF(CA)</t>
    </r>
  </si>
  <si>
    <r>
      <rPr>
        <rFont val="Arial"/>
        <b/>
        <color theme="1"/>
        <sz val="10.0"/>
      </rPr>
      <t>LPDDR4 MR12:</t>
    </r>
    <r>
      <rPr>
        <rFont val="Arial"/>
        <color theme="1"/>
        <sz val="10.0"/>
      </rPr>
      <t xml:space="preserve">
000000b–110010b: See VREF Settings Table in DRAM vendor data sheet 
Updated to match validation recommended value.</t>
    </r>
  </si>
  <si>
    <r>
      <rPr>
        <rFont val="Arial"/>
        <color theme="1"/>
        <sz val="10.0"/>
      </rPr>
      <t xml:space="preserve">LPDDR4 </t>
    </r>
    <r>
      <rPr>
        <rFont val="Arial"/>
        <b/>
        <color theme="1"/>
        <sz val="10.0"/>
      </rPr>
      <t>MR22</t>
    </r>
    <r>
      <rPr>
        <rFont val="Arial"/>
        <color theme="1"/>
        <sz val="10.0"/>
      </rPr>
      <t>: ODTD-CA</t>
    </r>
  </si>
  <si>
    <r>
      <rPr>
        <rFont val="Arial"/>
        <b/>
        <color theme="1"/>
        <sz val="10.0"/>
      </rPr>
      <t>LPDDR4 MR22:</t>
    </r>
    <r>
      <rPr>
        <rFont val="Arial"/>
        <color theme="1"/>
        <sz val="10.0"/>
      </rPr>
      <t xml:space="preserve">
0b: CA ODT obeys ODT_CA bond pad (default)
1b: CA ODT disabled</t>
    </r>
  </si>
  <si>
    <t>DDRC_INIT7</t>
  </si>
  <si>
    <r>
      <rPr>
        <rFont val="Arial"/>
        <color theme="1"/>
        <sz val="10.0"/>
      </rPr>
      <t xml:space="preserve">LPDDR4 </t>
    </r>
    <r>
      <rPr>
        <rFont val="Arial"/>
        <b/>
        <color theme="1"/>
        <sz val="10.0"/>
      </rPr>
      <t>MR22</t>
    </r>
    <r>
      <rPr>
        <rFont val="Arial"/>
        <color theme="1"/>
        <sz val="10.0"/>
      </rPr>
      <t>: ODTE-CS</t>
    </r>
  </si>
  <si>
    <r>
      <rPr>
        <rFont val="Arial"/>
        <b/>
        <color theme="1"/>
        <sz val="10.0"/>
      </rPr>
      <t>LPDDR4 MR22:</t>
    </r>
    <r>
      <rPr>
        <rFont val="Arial"/>
        <color theme="1"/>
        <sz val="10.0"/>
      </rPr>
      <t xml:space="preserve">
0b: ODT-CS override disabled (default) 
1b: ODT-CS override enabled</t>
    </r>
  </si>
  <si>
    <r>
      <rPr>
        <rFont val="Arial"/>
        <color theme="1"/>
        <sz val="10.0"/>
      </rPr>
      <t xml:space="preserve">LPDDR4 </t>
    </r>
    <r>
      <rPr>
        <rFont val="Arial"/>
        <b/>
        <color theme="1"/>
        <sz val="10.0"/>
      </rPr>
      <t>MR22</t>
    </r>
    <r>
      <rPr>
        <rFont val="Arial"/>
        <color theme="1"/>
        <sz val="10.0"/>
      </rPr>
      <t>: ODTE-CK</t>
    </r>
  </si>
  <si>
    <r>
      <rPr>
        <rFont val="Arial"/>
        <b/>
        <color theme="1"/>
        <sz val="10.0"/>
      </rPr>
      <t>LPDDR4 MR22:</t>
    </r>
    <r>
      <rPr>
        <rFont val="Arial"/>
        <color theme="1"/>
        <sz val="10.0"/>
      </rPr>
      <t xml:space="preserve">
0b: ODT-CK override disabled (default)
1b: ODT-CK override enabled</t>
    </r>
  </si>
  <si>
    <r>
      <rPr>
        <rFont val="Arial"/>
        <color theme="1"/>
        <sz val="10.0"/>
      </rPr>
      <t xml:space="preserve">LPDDR4 </t>
    </r>
    <r>
      <rPr>
        <rFont val="Arial"/>
        <b/>
        <color theme="1"/>
        <sz val="10.0"/>
      </rPr>
      <t>MR22</t>
    </r>
    <r>
      <rPr>
        <rFont val="Arial"/>
        <color theme="1"/>
        <sz val="10.0"/>
      </rPr>
      <t>: SOC ODT</t>
    </r>
  </si>
  <si>
    <r>
      <rPr>
        <rFont val="Arial"/>
        <b/>
        <color theme="1"/>
        <sz val="10.0"/>
      </rPr>
      <t>LPDDR4 MR22:</t>
    </r>
    <r>
      <rPr>
        <rFont val="Arial"/>
        <color theme="1"/>
        <sz val="10.0"/>
      </rPr>
      <t xml:space="preserve">
000b: Disable (default)
001b: RZQ/1
010b: RZQ/2
011b: RZQ/3
100b: RZQ/4
101b: RZQ/5
110b: RZQ/6
111b: RFU</t>
    </r>
  </si>
  <si>
    <r>
      <rPr>
        <rFont val="Arial"/>
        <color theme="1"/>
        <sz val="10.0"/>
      </rPr>
      <t xml:space="preserve">LPDDR4 </t>
    </r>
    <r>
      <rPr>
        <rFont val="Arial"/>
        <b/>
        <color theme="1"/>
        <sz val="10.0"/>
      </rPr>
      <t>MR14</t>
    </r>
    <r>
      <rPr>
        <rFont val="Arial"/>
        <color theme="1"/>
        <sz val="10.0"/>
      </rPr>
      <t>: VRDQ</t>
    </r>
  </si>
  <si>
    <r>
      <rPr>
        <rFont val="Arial"/>
        <b/>
        <color theme="1"/>
        <sz val="10.0"/>
      </rPr>
      <t>LPDDR4 MR14:</t>
    </r>
    <r>
      <rPr>
        <rFont val="Arial"/>
        <color theme="1"/>
        <sz val="10.0"/>
      </rPr>
      <t xml:space="preserve">
0b: VREF(DQ) range[0] enabled
1b: VREF(DQ) range[1] enabled (default)</t>
    </r>
  </si>
  <si>
    <r>
      <rPr>
        <rFont val="Arial"/>
        <color theme="1"/>
        <sz val="10.0"/>
      </rPr>
      <t xml:space="preserve">LPDDR4 </t>
    </r>
    <r>
      <rPr>
        <rFont val="Arial"/>
        <b/>
        <color theme="1"/>
        <sz val="10.0"/>
      </rPr>
      <t>MR14</t>
    </r>
    <r>
      <rPr>
        <rFont val="Arial"/>
        <color theme="1"/>
        <sz val="10.0"/>
      </rPr>
      <t>: VREF(DQ)</t>
    </r>
  </si>
  <si>
    <r>
      <rPr>
        <rFont val="Arial"/>
        <b/>
        <color theme="1"/>
        <sz val="10.0"/>
      </rPr>
      <t>LPDDR4 MR14:</t>
    </r>
    <r>
      <rPr>
        <rFont val="Arial"/>
        <color theme="1"/>
        <sz val="10.0"/>
      </rPr>
      <t xml:space="preserve">
000000b–110010b: See VREF Settings Table in DRAM vendor data sheet</t>
    </r>
  </si>
  <si>
    <t>ECC_REGION_MAP_GRANU</t>
  </si>
  <si>
    <r>
      <rPr>
        <rFont val="Helvetica Neue"/>
        <color rgb="FF000000"/>
        <sz val="10.0"/>
      </rPr>
      <t xml:space="preserve">Granularity of Selectable Protected Region.
Define one region size for ECCCFG0.ecc_region_map
</t>
    </r>
    <r>
      <rPr>
        <rFont val="ZapfDingbats"/>
        <color rgb="FF000000"/>
        <sz val="7.0"/>
      </rPr>
      <t xml:space="preserve">■ </t>
    </r>
    <r>
      <rPr>
        <rFont val="Helvetica"/>
        <color rgb="FF000000"/>
        <sz val="10.0"/>
      </rPr>
      <t xml:space="preserve">0 - 1/8 of memory spaces
</t>
    </r>
    <r>
      <rPr>
        <rFont val="ZapfDingbats"/>
        <color rgb="FF000000"/>
        <sz val="7.0"/>
      </rPr>
      <t xml:space="preserve">■ </t>
    </r>
    <r>
      <rPr>
        <rFont val="Helvetica"/>
        <color rgb="FF000000"/>
        <sz val="10.0"/>
      </rPr>
      <t xml:space="preserve">1 - 1/16 of memory spaces
</t>
    </r>
    <r>
      <rPr>
        <rFont val="ZapfDingbats"/>
        <color rgb="FF000000"/>
        <sz val="7.0"/>
      </rPr>
      <t xml:space="preserve">■ </t>
    </r>
    <r>
      <rPr>
        <rFont val="Helvetica"/>
        <color rgb="FF000000"/>
        <sz val="10.0"/>
      </rPr>
      <t xml:space="preserve">2 - 1/32 of memory spaces
</t>
    </r>
    <r>
      <rPr>
        <rFont val="ZapfDingbats"/>
        <color rgb="FF000000"/>
        <sz val="7.0"/>
      </rPr>
      <t xml:space="preserve">■ </t>
    </r>
    <r>
      <rPr>
        <rFont val="Helvetica"/>
        <color rgb="FF000000"/>
        <sz val="10.0"/>
      </rPr>
      <t>3 - 1/64 of memory spaces</t>
    </r>
  </si>
  <si>
    <t>DDRC_ECCCFG0</t>
  </si>
  <si>
    <t>0x3D400070</t>
  </si>
  <si>
    <t>ECC_REGION_MAP_OTHER</t>
  </si>
  <si>
    <t>When ECCCFG0.ecc_region_map_granu&gt;0, there is a region which is not controlled by ecc_region_map. This register defines the region to be protected or non-protected for Inline ECC.
■ 0 - Non-Protected
■ 1 - Protected
This register is valid only when ECCCFG0.ecc_region_map_granu&gt;0 &amp;&amp;
ECCCFG0.ecc_mode=4.</t>
  </si>
  <si>
    <t>ECC_AP_ERR_THRESHOLD</t>
  </si>
  <si>
    <t>Set threshold for address parity error.
ECCAPSTAT.ecc_ap_err is asserted if number of ECC errors
(correctable/uncorrectable) within one burst exceeds this
threshold.
This register value must be less than "Total number of ECC
checks within one burst" when this feature is used,
"Total number of ECC check within one burst" is calculated by
(DRAM Data width) x (DRAM BL) / 64.
Value After Reset: "MEMC_MAX_INLINE_ECC_PER_BURST/2-1"</t>
  </si>
  <si>
    <t>BLK_CHANNEL_IDLE_TIME_X32</t>
  </si>
  <si>
    <t>Indicates the number of cycles on HIF interface with no access
to protected regions which will cause flush of all the block
channels. In order to flush block channel, uMCTL2 injects write
ECC command (when there is no incoming HIF command) if
there is any write in the block and then stop tracking the block
address.
■ 0 indicates no timeout (feature is disabled, not supported
with this version)
■ 1 indicates 32 cycles
■ 2 indicates 2*32 cycles, etc.
Unit: Multiples of 32 DFI clock cycles.
Please refer to "Note 1" from "Notes on Timing Registers" at
the start of "Register Descriptions" chapter for details on how
to program this register field.
Value After Reset: 0x3f</t>
  </si>
  <si>
    <t>ECC_REGION_MAP</t>
  </si>
  <si>
    <t>Selectable Protected Region setting. Memory space is divided
to 8/16/32/64 regions which is determined by
ECCCFG1.ecc_region_map_granu.
Note: Highest 1/8 memory space is always ECC region.
Lowest 7 regions are Selectable Protected Regions. The
Selectable Protected Regions can be protected/non-protected
selectively by ECCCFG0.ecc_region_map[6:0]. Other upper
regions are non-protected region if any. Each bit of
ECCCFG0.ecc_region_map[6:0] correspond to each of lowest
7 regions respectively.
In order to protect a region with ECC, set the corresponding
bit to 1, otherwise set to 0. All "0"s is invalid - there must be at
least one protected region if inline ECC is enabled via
ECCCFG0.ecc_mode register.
All regions are protected with the following setting.
■ ecc_region_map=7'b1111111
■ ecc_region_map_granu=0
Only first 1/64 region is protected with the following setting.
■ ecc_region_map=7'b0000001
■ ecc_region_map_granu=3
Value After Reset: 0x7f</t>
  </si>
  <si>
    <t>ECC_REGION_REMAP_EN</t>
  </si>
  <si>
    <t>Enables remapping ECC region feature.
Only supported when inline ECC is enabled.
■ 0 - Disable
■ 1 - Enable
Value After Reset: 0x0
In this design implementation, tt is required to disable this (leave at default) and to not allow any accesses to the ECC region at the top 1/8 of memory.</t>
  </si>
  <si>
    <t>ECC_AP_EN</t>
  </si>
  <si>
    <t>Enable address protection feature. Only supported when inline
ECC is enabled.
■ 0: disable
■ 1: enable
Value After Reset: 0x1</t>
  </si>
  <si>
    <t>ECC_TYPE</t>
  </si>
  <si>
    <t xml:space="preserve">The original intent of this bit field was to select between which type of ECC is desired when both Sideband ECC and Inline ECC are supported in the same Hardware configuration. However, in this specific Hardware configuration, only Inline ECC is supported, therefore this bit field is not programmable and is considered reserved.  Reads of this bit field will return 0.  Hence, when ECC is enabled, it will always be configured as Inline ECC. </t>
  </si>
  <si>
    <t>DIS_SCRUB</t>
  </si>
  <si>
    <t>Disable ECC scrubs. Valid only when ECCCFG0.ecc_mode =
3'b100 or 3'b101 and MEMC_USE_RMW is defined.
Note: Scrub is not supported in inline ECC mode and the
register value is don't care.
Value After Reset: 0x0</t>
  </si>
  <si>
    <t>TEST_MODE</t>
  </si>
  <si>
    <t>If this bit is set to 1, no ECC is performed, and the ECC byte is
accessed directly from co_wu_rxdata_ecc and
ra_co_resp_ecc_data. This test mode is only supported with
the HIF interface - it is disabled if UMCTL2_INCL_ARB is
enabled. This test mode is only supported in full bus width
mode. In other words, if MSTR.data_bus_width is non-zero,
this test_mode field must be set to 0. If test_mode is set to 1,
the ecc_mode field is ignored. If MEMC_ECC_SUPPORT is 2
(Advanced ECC mode), this test_mode field must be set to 0.
Note: test_mode is not supported in inline ECC mode and the
register value is don't care.
Value After Reset: 0x0</t>
  </si>
  <si>
    <t>ECC_MODE</t>
  </si>
  <si>
    <t>ECC mode indicator
■ 000 - ECC disabled
■ 100 - ECC enabled - SEC/DED over 1 beat
■ 101 - ECC enabled - Advanced ECC
■ all other settings are reserved for future use
Value After Reset: 0x0</t>
  </si>
  <si>
    <t>ACTIVE_BLK_CHANNEL</t>
  </si>
  <si>
    <t>Number of active block channels. Total number of ECC block
channels are defined by MEMC_NO_OF_BLK_CHANNEL
hardware parameter. This register can limit the number of
available channels. For example, if set to 0, only one channel
is active and therefore block interleaving is disabled.
Value After Reset: "MEMC_NO_OF_BLK_CHANNEL-1</t>
  </si>
  <si>
    <t>DDRC_ECCCFG1</t>
  </si>
  <si>
    <t>0x3D400074</t>
  </si>
  <si>
    <t>BLK_CHANNEL_ACTIVE_TERM</t>
  </si>
  <si>
    <t>Block Channel active terminate enable.
If enabled, block channel is terminated when full block write or
full block read is performed (all address within block are written
or read)
■ 0 - Disable (only for debug purpose)
■ 1 - Enable (default)
This is debug register, and this must be set to 1 for normal operation.
Value After Reset: 0x1</t>
  </si>
  <si>
    <t>ECC_REGION_WASTE_LOCK</t>
  </si>
  <si>
    <t>Locks the remaining waste parts of the ECC region (hole) that
are not locked by ecc_region_parity_lock.
■ 1: Locked; if this region is accessed, error response is
generated.
■ 0: Unlocked; this region can be accessed normally, similar
to non-ECC protected region.
Value After Reset: 0x1</t>
  </si>
  <si>
    <t>ECC_REGION_PARITY_LOCK</t>
  </si>
  <si>
    <t>Locks the parity section of the ECC region (hole) which is the
highest system address part of the memory that stores ECC
parity for protected region.
■ 1: Locked; if this region is accessed, error response is
generated.
■ 0: Unlocked; this region can be accessed normally, similar
to non-ECC protected region.
Value After Reset: 0x1</t>
  </si>
  <si>
    <t>POISON_CHIP_EN</t>
  </si>
  <si>
    <t>Data poison based on chip (i.e. persistently poisons the DRAM
data once its cs is selected to mimic chip failure). It is valid if
ECCCFG1.data_poison_en=1.
■ 0 : disable
■ 1 : enable. Persistently poison the write data to rank
address that matches ECCPOISONADDR0.ecc_poison_rank.
Value After Reset: 0x0</t>
  </si>
  <si>
    <t>DATA_POISON_BIT</t>
  </si>
  <si>
    <t>Selects whether to poison 1 or 2 bits - if 0 -&gt; 2-bit
(uncorrectable) data poisoning, if 1 -&gt; 1-bit (correctable) data
poisoning, if ECCCFG1.data_poison_en=1. Valid only when
MEMC_ECC_SUPPORT==1 (SECDED ECC mode)
Value After Reset: 0x0</t>
  </si>
  <si>
    <t>DATA_POISON_EN</t>
  </si>
  <si>
    <t>Enable ECC data poisoning - introduces ECC errors on writes
to address specified by the ECCPOISONADDR0/1 registers
Value After Reset: 0x0</t>
  </si>
  <si>
    <t>The following registers are not recommended to be changed by the user</t>
  </si>
  <si>
    <t>Number of DDRC Clock Cycles</t>
  </si>
  <si>
    <t>DFI_T_CTRL_DELAY</t>
  </si>
  <si>
    <t>Description: Specifies the number of DFI clock cycles after an assertion or de-assertion of the DFI control signals that the control signals at the PHY-DRAM interface reflect the assertion or de-assertion. If the DFI clock and the memory clock are not phase-aligned, this timing parameter should be rounded up to the next integer value. Note that if using RDIMM/LRDIMM, it is necessary to increment this parameter by RDIMM's/LRDIMM's extra cycle of latency in terms of DFI clock.
Value After Reset: 0x7</t>
  </si>
  <si>
    <t>DDRC_DFITMG0</t>
  </si>
  <si>
    <t>DFI_RDDATA_USE_SDR</t>
  </si>
  <si>
    <t>Description: Defines whether dfi_rddata_en/dfi_rddata/dfi_rddata_valid is generated using HDR or SDR values Selects whether value in DFITMG0.dfi_t_rddata_en is in terms of SDR or HDR clock cycles:
■ 0 in terms of HDR clock cycles
■ 1 in terms of SDR clock cycles
Refer to PHY specification for correct value.
Value After Reset: 0x0
Note: Some documents may refer to this bit as dfi_rddata_use_dfi_phy_clk</t>
  </si>
  <si>
    <t>DFI_T_RDDDATA_EN</t>
  </si>
  <si>
    <r>
      <rPr>
        <rFont val="Arial"/>
        <color theme="1"/>
        <sz val="10.0"/>
      </rPr>
      <t xml:space="preserve">Description: Time from the assertion of a read command on the DFI interface to the assertion of the dfi_rddata_en signal.
Refer to PHY specification for correct value.
This corresponds to the DFI parameter trddata_en. Note that, depending on the PHY, if using RDIMM, it may be necessary to use the value (CL + 1) in the calculation of trddata_en. This is to compensate for the extra cycle of latency through the RDIMM.
Unit: Clocks
Value After Reset: 0x2
</t>
    </r>
    <r>
      <rPr>
        <rFont val="Arial"/>
        <b/>
        <color theme="1"/>
        <sz val="10.0"/>
      </rPr>
      <t>Per PUB databook, trddata_en = RL-5, where RL is RL (read latency)</t>
    </r>
  </si>
  <si>
    <t>DFI_WRDATA_USE_SDR</t>
  </si>
  <si>
    <t>Description: Defines whether dfi_wrdata_en/dfi_wrdata/dfi_wrdata_mask is generated using HDR or SDR values Selects whether value in DFITMG0.dfi_tphy_wrlat is in terms of SDR or HDR clock cycles Selects whether value in DFITMG0.dfi_tphy_wrdata is in terms of SDR or HDR clock cycles
■ 0 in terms of HDR clock cycles
■ 1 in terms of SDR clock cycles
Refer to PHY specification for correct value.
Value After Reset: 0x0
Note: Some documents may refer to this bit as dfi_wrdata_use_dfi_phy_clk</t>
  </si>
  <si>
    <t>DFI_TPHY_WRDATA</t>
  </si>
  <si>
    <t>Description: Specifies the number of clock cycles between when dfi_wrdata_en is asserted to when the associated write data is driven on the dfi_wrdata signal.
This corresponds to the DFI timing parameter tphy_wrdata.
Refer to PHY specification for correct value.
Note, max supported value is 8.
Unit: Clocks
Value After Reset: 0x0</t>
  </si>
  <si>
    <t>DFI_TPHY_WRLAT</t>
  </si>
  <si>
    <t>Description: Write latency
Number of clocks from the write command to write data enable (dfi_wrdata_en). This corresponds to the DFI timing parameter tphy_wrlat.
Refer to PHY specification for correct value.
This field is automatically updated.
Value After Reset: 0x2
Per PUB databook, should be WL-5, where WL=WL+1</t>
  </si>
  <si>
    <t>DFI_T_CMD_LAT</t>
  </si>
  <si>
    <t>Description: Specifies the number of DFI PHY clocks between when the dfi_cs signal is asserted and when the associated command is driven. This field is used for CAL mode, should be set to '0' or the value which matches the CAL mode register setting in the DRAM.
If the PHY can add the latency for CAL mode, this should be set to '0'.
Valid Range: 0, 3, 4, 5, 6, and 8
Value After Reset: 0x0</t>
  </si>
  <si>
    <t>DDRC_DFITMG1</t>
  </si>
  <si>
    <t>DFI_T_PARIN_LAT</t>
  </si>
  <si>
    <t>Description: Specifies the number of DFI PHY clocks between when the dfi_cs signal is asserted and when the associated dfi_parity_in signal is driven.
Value After Reset: 0x0</t>
  </si>
  <si>
    <t>DFI_T_WRDATA_DELAY</t>
  </si>
  <si>
    <t>Description: Specifies the number of DFI clocks between when the dfi_wrdata_en signal is asserted and when the corresponding write data transfer is completed on the DRAM bus.
This corresponds to the DFI timing parameter twrdata_delay. Refer to PHY specification for correct value.
For DFI 3.0 PHY, set to twrdata_delay, a new timing parameter introduced in DFI 3.0.
For DFI 2.1 PHY, set to tphy_wrdata + (delay of DFI write data to the DRAM).
Value to be programmed is in terms of DFI clocks, not PHY clocks.
In FREQ_RATIO=2, divide PHY's value by 2 and round up to next integer.
If using DFITMG0.dfi_wrdata_use_sdr=1, add 1 to the value.
Unit: Clocks
Value After Reset: 0x0
Per PHY spec, assume timing for tphy_wrdata_delay which is 6 + BL/2, then add DFITMG0.dfi_wrdata_use_sdr setting.</t>
  </si>
  <si>
    <t>DFI_T_DRAM_CLK_DISABLE</t>
  </si>
  <si>
    <t>Description: Specifies the number of DFI clock cycles from the assertion of the dfi_dram_clk_disable signal on the DFI until the clock to the DRAM memory devices, at the PHY-DRAM boundary, maintains a low value.
If the DFI clock and the memory clock are not phase aligned, this timing parameter should be rounded up to the next integer value.
Value After Reset: 0x4
PHY spec recommends to set this to 3.</t>
  </si>
  <si>
    <t>DFI_T_DRAM_CLK_ENABLE</t>
  </si>
  <si>
    <t>Description: Specifies the number of DFI clock cycles from the de-assertion of the dfi_dram_clk_disable signal on the DFI until the first valid rising edge of the clock to the DRAM memory devices, at the PHY-DRAM boundary.
If the DFI clock and the memory clock are not phase aligned, this timing parameter should be rounded up to the next integer value.
Value After Reset: 0x4
PHY spec recommends to set this to 3.</t>
  </si>
  <si>
    <t>DFI_TPHY_RDCSLAT</t>
  </si>
  <si>
    <t>Description: Number of clocks between when a read command is sent on the DFI control interface and when the associated dfi_rddata_cs signal is asserted. This corresponds to the DFI timing parameter tphy_rdcslat. Refer to PHY specification for correct value.
Value After Reset: 0x2</t>
  </si>
  <si>
    <t>DDRC_DFITMG2</t>
  </si>
  <si>
    <t>DFI_TPHY_WRCSLAT</t>
  </si>
  <si>
    <t>Description: Number of clocks between when a write command is sent on the DFI control interface and when the associated dfi_wrdata_cs signal is asserted. This corresponds to the DFI timing parameter tphy_wrcslat.
Refer to PHY specification for correct value.
Value After Reset: 0x2
Per PUB: tphy_wrcslat = WL-5, where WL = WL+1</t>
  </si>
  <si>
    <t>CTL_IDLE_EN</t>
  </si>
  <si>
    <t>Enables support of ctl_idle signal, which is non-DFI related pin specific to certain Synopsys PHYs. See signal description of ctl_idle signal for further details of ctl_idle functionality.
Value After Reset: 0x0
Per SNPS, this isn't used and has no affect, so leave set.</t>
  </si>
  <si>
    <t>DDRC_DFIMISC</t>
  </si>
  <si>
    <t>DFI_DATA_CS_POLARITY</t>
  </si>
  <si>
    <t>Description: Defines polarity of dfi_wrdata_cs and dfi_rddata_cs signals.
■0: Signals are active low
■1: Signals are active high
Value After Reset: 0x0</t>
  </si>
  <si>
    <t>PHY_DBI_MODE</t>
  </si>
  <si>
    <t>Description: DBI implemented in DDRC or PHY.
■0 - DDRC implements DBI functionality.
■1 - PHY implements DBI functionality. Present only in designs configured to support DDR4 and LPDDR4.
Value After Reset: 0x0</t>
  </si>
  <si>
    <t>DFI_INIT_COMPLETE_EN</t>
  </si>
  <si>
    <t>Description: PHY initialization complete enable signal.
When asserted the dfi_init_complete signal can be used to trigger SDRAM initialization
Value After Reset: 0x1</t>
  </si>
  <si>
    <t>DIS_AUTO_CTRLUPD</t>
  </si>
  <si>
    <t>Description: Disable the automatic dfi_ctrlupd_req generation by the uMCTL2.
■ 1 - Disable the automatic dfi_ctrlupd_req generation by the uMCTL2. The core must issue the dfi_ctrlupd_req signal using register reg_ddrc_ctrlupd.
■ 0 - uMCTL2 issues dfi_ctrlupd_req periodically.
This register field is changeable on the fly.
Value After Reset: 0x0</t>
  </si>
  <si>
    <t>DDRC_DFIUPD0</t>
  </si>
  <si>
    <t>DIS_AUTO_CTRLUPD_SRX</t>
  </si>
  <si>
    <t>Description: Disable the automatic dfi_ctrlupd_req generation by the uMCTL2 following a self-refresh exit.
■ 1 - Disable the automatic dfi_ctrlupd_req generation by the uMCTL2 following a self-refresh exit. The core must issue the dfi_ctrlupd_req signal using register reg_ddrc_ctrlupd. .
■ 0 - uMCTL2 issues a dfi_ctrlupd_req after exiting self-refresh.
This register field is changeable on the fly.
Value After Reset: 0x0</t>
  </si>
  <si>
    <t>CTRLUPD_PRE_SRX</t>
  </si>
  <si>
    <t>Selects dfi_ctrlupd_req requirements at SRX:
■0 : send ctrlupd after SRX
■1 : send ctrlupd before SRX If DFIUPD0.dis_auto_ctrlupd_srx=1, this register has no impact, because no dfi_ctrlupd_req will be issued when SRX.
Value After Reset: 0x0</t>
  </si>
  <si>
    <t>DFI_T_CTRLUP_MAX</t>
  </si>
  <si>
    <t>Description: Specifies the maximum number of clock cycles that the dfi_ctrlupd_req signal can assert.
Lowest value to assign to this variable is 0x40.
Unit: Clocks
Value After Reset: 0x40</t>
  </si>
  <si>
    <t>DFI_T_CTRLUP_MIN</t>
  </si>
  <si>
    <t>Description: Specifies the minimum number of clock cycles that the dfi_ctrlupd_req signal must be asserted.
The uMCTL2 expects the PHY to respond within this time. If the PHY does not respond, the uMCTL2 de-asserts dfi_ctrlupd_req after dfi_t_ctrlup_min + 2 cycles.
Lowest value to assign to this variable is 0x3.
Unit: Clocks
Value After Reset: 0x3</t>
  </si>
  <si>
    <t>DFI_T_CTRLUPD_INTERVAL_MIN_X1024</t>
  </si>
  <si>
    <t>Description: This is the minimum amount of time between uMCTL2 initiated DFI update requests (which is executed whenever the uMCTL2 is idle).
Set this number higher to reduce the frequency of update requests, which can have a small impact on the latency of the first read request when the uMCTL2 is idle.
Unit: 1024 clocks
Value After Reset: 0x0</t>
  </si>
  <si>
    <t>DDRC_DFIUPD1</t>
  </si>
  <si>
    <t>DFI_T_CTRLUPD_INTERVAL_MAX_X1024</t>
  </si>
  <si>
    <t>Description: This is the maximum amount of time between uMCTL2 initiated DFI update requests.
This timer resets with each update request; when the timer expires dfi_ctrlupd_req is sent and traffic is blocked until the dfi_ctrlupd_ackx is received. PHY can use this idle time to recalibrate the delay lines to the DLLs. The DFI controller update is also used to reset PHY FIFO pointers in case of data capture errors. Updates are required to maintain calibration over PVT, but frequent updates may impact performance.
Note: Value programmed for DFIUPD1.dfi_t_ctrlupd_interval_max_x1024 must be greater than DFIUPD1.dfi_t_ctrlupd_interval_min_x1024.
Unit: 1024 clocks
Value After Reset: 0x0</t>
  </si>
  <si>
    <t>DFI_PHYUPD_EN</t>
  </si>
  <si>
    <t>Description: Enables the support for acknowledging PHY-initiated updates:
■ 0 - Disabled
■ 1 - Enabled
Value After Reset: 0x1</t>
  </si>
  <si>
    <t>DDRC_DFIUPD2</t>
  </si>
  <si>
    <t>RD_DBI_EN</t>
  </si>
  <si>
    <t>Read DBI enable signal in DDRC.
■0 - Read DBI is disabled.
■1 - Read DBI is enabled.
This signal must be set the same value as DRAM's mode register.
■DDR4: MR5 bit A12. When x4 devices are used, this signal must be set to 0.
■LPDDR4: MR3[6]
Value After Reset: 0x0</t>
  </si>
  <si>
    <t>DDRC_DBICTL</t>
  </si>
  <si>
    <t>WR_DBI_EN</t>
  </si>
  <si>
    <t>Write DBI enable signal in DDRC.
■0 - Write DBI is disabled.
■1 - Write DBI is enabled.
This signal must be set the same value as DRAM's mode register.
■DDR4: MR5 bit A11. When x4 devices are used, this signal must be set to 0.
■LPDDR4: MR3[7]
Value After Reset: 0x0</t>
  </si>
  <si>
    <t>DM_EN</t>
  </si>
  <si>
    <t>DM enable signal in DDRC.
■0 - DM is disabled.
■1 - DM is enabled.
This signal must be set the same logical value as DRAM's mode register.
■DDR4: Set this to same value as MR5 bit A10. When x4 devices are used, this signal must be set to 0.
■LPDDR4: Set this to inverted value of MR13[5] which is opposite polarity from this signal
Value After Reset: 0x1</t>
  </si>
  <si>
    <t>DFI_PHYMSTR_EN</t>
  </si>
  <si>
    <t>Enables the PHY Master Interface:
■0 - Disabled
■1 - Enabled
Value After Reset: 0x1</t>
  </si>
  <si>
    <t>DDRC_DFIPHYMSTR</t>
  </si>
  <si>
    <t>rdwr_idle_gap</t>
  </si>
  <si>
    <t>When the preferred transaction store is empty for these many clock cycles, switch to the alternate transaction store if it is non-empty.
The read transaction store (both high and low priority) is the default preferred transaction store and the write transaction store is the alternative store.
When prefer write over read is set this is reversed.
0x0 is a legal value for this register. When set to 0x0, the transaction store switching will happen immediately when the switching conditions become true.
FOR PERFORMANCE ONLY
Value After Reset: 0x0</t>
  </si>
  <si>
    <t>DDRC_SCHED</t>
  </si>
  <si>
    <t>go2critical_hysteresis</t>
  </si>
  <si>
    <t>UNUSED
Value After Reset: 0x0</t>
  </si>
  <si>
    <t>lpr_num_entries</t>
  </si>
  <si>
    <t>Number of entries in the low priority transaction store is this value + 1.
(MEMC_NO_OF_ENTRY - (SCHED.lpr_num_entries + 1)) is the number of entries available for the high priority transaction store.
Setting this to maximum value allocates all entries to low priority transaction store.
Setting this to 0 allocates 1 entry to low priority transaction store and the rest to high priority transaction store.
Note: In ECC configurations, the numbers of write and low priority read credits issued is one less than in the non-ECC case. One entry each is reserved in the write and low-priority read CAMs for storing the RMW requests arising out of single bit error correction RMW operation.
Value After Reset: "MEMC_NO_OF_ENTRY/2"</t>
  </si>
  <si>
    <t>pageclose</t>
  </si>
  <si>
    <t>If true, bank is kept open only while there are page hit transactions available in the CAM to that bank. The last read or write command in the CAM with a bank and page hit will be executed with auto-precharge if SCHED1.pageclose_timer=0. Even if this register set to 1 and SCHED1.pageclose_timer is set to 0, explicit precharge (and not auto-precharge) may be issued in some cases where there is a mode switch between Write and Read or between LPR and HPR. The Read and Write commands that are executed as part of the ECC scrub requests are also executed without auto-precharge.
If false, the bank remains open until there is a need to close it (to open a different page, or for page timeout or refresh timeout) - also known as open page policy. The open page policy can be overridden by setting the per-command-autopre bit on the HIF interface (hif_cmd_autopre).
The pageclose feature provids a midway between Open and Close page policies.
FOR PERFORMANCE ONLY.
Value After Reset: 0x1</t>
  </si>
  <si>
    <t>prefer_write</t>
  </si>
  <si>
    <t>If set then the bank selector prefers writes over reads.
FOR DEBUG ONLY.
Value After Reset: 0x0</t>
  </si>
  <si>
    <t>force_low_pri_n</t>
  </si>
  <si>
    <t>Active low signal. When asserted ('0'), all incoming transactions are forced to low priority. This implies that all High Priority Read (HPR) and Variable Priority Read commands (VPR) will be treated as Low Priority Read (LPR) commands. On the write side, all Variable Priority Write (VPW) commands will be treated as Normal Priority Write (NPW) commands. Forcing the incoming transactions to low priority implicitly turns off Bypass path for read commands.
FOR PERFORMANCE ONLY.
Value After Reset: 0x1</t>
  </si>
  <si>
    <t>pageclose_timer</t>
  </si>
  <si>
    <t>This field works in conjunction with SCHED.pageclose. It only has meaning if SCHED.pageclose==1.
If SCHED.pageclose==1 and pageclose_timer==0, then an auto-precharge may be scheduled for last read or write command in the CAM with a bank and page hit. Note, sometimes an explicit precharge is scheduled instead of the auto-precharge. See SCHED.pageclose for details of when this may happen.
If SCHED.pageclose==1 and pageclose_timer&gt;0, then an auto-precharge is not scheduled for last read or write command in the CAM with a bank and page hit. Instead, a timer is started, with pageclose_timer as the initial value. There is a timer on a per bank basis. The timer decrements unless the next read or write in the CAM to a bank is a page hit. It gets reset to pageclose_timer value if the next read or write in the CAM to a bank is a page hit. Once the timer has reached zero, an explcit precharge will be attempted to be scheduled.
Value After Reset: 0x0</t>
  </si>
  <si>
    <t>DDRC_SCHED1</t>
  </si>
  <si>
    <t>hpr_xact_run_length</t>
  </si>
  <si>
    <r>
      <rPr>
        <rFont val="Arial"/>
        <color theme="1"/>
        <sz val="10.0"/>
      </rPr>
      <t xml:space="preserve">Number of transactions that are serviced once the HPR queue goes critical is the smaller of:
</t>
    </r>
    <r>
      <rPr>
        <rFont val="Segoe UI Symbol"/>
        <color theme="1"/>
        <sz val="10.0"/>
      </rPr>
      <t>■</t>
    </r>
    <r>
      <rPr>
        <rFont val="Arial"/>
        <color theme="1"/>
        <sz val="10.0"/>
      </rPr>
      <t xml:space="preserve">(a) This number
</t>
    </r>
    <r>
      <rPr>
        <rFont val="Segoe UI Symbol"/>
        <color theme="1"/>
        <sz val="10.0"/>
      </rPr>
      <t>■</t>
    </r>
    <r>
      <rPr>
        <rFont val="Arial"/>
        <color theme="1"/>
        <sz val="10.0"/>
      </rPr>
      <t>(b) Number of transactions available.
Unit: Transaction.
FOR PERFORMANCE ONLY.
Value After Reset: 0xf</t>
    </r>
  </si>
  <si>
    <t>DDRC_PERFHPR1</t>
  </si>
  <si>
    <t>hpr_max_starve</t>
  </si>
  <si>
    <t>Number of DFI clocks that the HPR queue can be starved before it goes critical. The minimum valid functional value for this register is 0x1. Programming it to 0x0 will disable the starvation functionality; during normal operation, this function should not be disabled as it will cause excessive latencies.
FOR PERFORMANCE ONLY.
Value After Reset: 0x7f</t>
  </si>
  <si>
    <t>lpr_xact_run_length</t>
  </si>
  <si>
    <t>Number of transactions that are serviced once the LPR queue goes critical is the smaller of:
■(a) This number
■(b) Number of transactions available.
Unit: Transaction.
FOR PERFORMANCE ONLY.
Value After Reset: 0xf</t>
  </si>
  <si>
    <t>DDRC_PERFLPR1</t>
  </si>
  <si>
    <t>lpr_max_starve</t>
  </si>
  <si>
    <t>Number of DFI clocks that the LPR queue can be starved before it goes critical. The minimum valid functional value for this register is 0x1. Programming it to 0x0 will disable the starvation functionality; during normal operation, this function should not be disabled as it will cause excessive latencies.
FOR PERFORMANCE ONLY.
Value After Reset: 0x7f</t>
  </si>
  <si>
    <t>w_xact_run_length</t>
  </si>
  <si>
    <t>Number of transactions that are serviced once the WR queue goes critical is the smaller of:
■(a) This number
■(b) Number of transactions available.
Unit: Transaction.
FOR PERFORMANCE ONLY.
Value After Reset: 0xf</t>
  </si>
  <si>
    <t>DDRC_PERFWR1</t>
  </si>
  <si>
    <t>w_max_starve</t>
  </si>
  <si>
    <t>Number of DFI clocks that the WR queue can be starved before it goes critical. The minimum valid functional value for this register is 0x1. Programming it to 0x0 will disable the starvation functionality; during normal operation, this function should not be disabled as it will cause excessive latencies.
FOR PERFORMANCE ONLY.
Value After Reset: 0x7f</t>
  </si>
  <si>
    <t>bl_exp_mode</t>
  </si>
  <si>
    <t>Burst length expansion mode. By default (i.e. bl_exp_mode==0) XPI expands every AXI burst into multiple HIF commands, using the memory burst length as a unit. If set to 1, then XPI will use half of the memory burst length as a unit. This applies to both reads and writes. When MSTR.data_bus_width==00, setting bl_exp_mode to 1 has no effect.
This can be used in cases where Partial Writes is enabled (UMCTL2_PARTIAL_WR=1), in order to avoid or minimize t_ccd_l penalty in DDR4 and t_ccd_mw penalty in LPDDR4. Hence, bl_exp_mode=1 is only recommended if DDR4 or LPDDR4.
Note that if DBICTL.dm_en=0, functionality is not supported in the following cases:
■UMCTL2_PARTIAL_WR=0
■UMCTL2_PARTIAL_WR=1, MSTR.data_bus_width=01, MEMC_BURST_LENGTH=8 and MSTR.burst_rdwr=1000 (LPDDR4 only)
■UMCTL2_PARTIAL_WR=1, MSTR.data_bus_width=01, MEMC_BURST_LENGTH=4 and MSTR.burst_rdwr=0100 (DDR4 only), with either MSTR.burstchop=0 or CRCPARCTL1.crc_enable=1
Functionality is also not supported if Data Channel Interleave is enabled
Value After Reset: 0x0</t>
  </si>
  <si>
    <t xml:space="preserve">DDRC_PCCFG </t>
  </si>
  <si>
    <t>pagematch_limit</t>
  </si>
  <si>
    <t>Page match four limit. If set to 1, limits the number of consecutive same page DDRC transactions that can be granted by the Port Arbiter to four when Page Match feature is enabled. If set to 0, there is no limit imposed on number of consecutive same page DDRC transactions.
Value After Reset: 0x0</t>
  </si>
  <si>
    <t>go2critical_en</t>
  </si>
  <si>
    <t>If set to 1 (enabled), sets co_gs_go2critical_wr and co_gs_go2critical_lpr/co_gs_go2critical_hpr signals going to DDRC based on urgent input (awurgent, arurgent) coming from AXI master. If set to 0 (disabled), co_gs_go2critical_wr and co_gs_go2critical_lpr/co_gs_go2critical_hpr signals at DDRC are driven to 1b'0.
Value After Reset: 0x0</t>
  </si>
  <si>
    <t>rdwr_ordered_en</t>
  </si>
  <si>
    <t>Enable ordered read/writes. If set to 1, preserves the ordering between read transaction and write transaction issued to the same address, on a given port. In other words, the controller ensures that all same address read and write commands from the application port interface are transported to the DFI interface in the order of acceptance. This feature is useful in cases where software coherency is desired for masters issuing back-to-back read/write transactions without waiting for write/read responses. Note that this register has an effect only if necessary logic is instantiated via the UMCTL2_RDWR_ORDERED_n parameter.</t>
  </si>
  <si>
    <t>DDRC_PCFGR_0</t>
  </si>
  <si>
    <t>rd_port_pagematch_en</t>
  </si>
  <si>
    <t>If set to 1, enables the Page Match feature. If enabled, once a requesting port is granted, the port is continued to be granted if the following immediate commands are to the same memory page (same bank and same row). See also related PCCFG.pagematch_limit register.</t>
  </si>
  <si>
    <t>rd_port_urgent_en</t>
  </si>
  <si>
    <t>If set to 1, enables the AXI urgent sideband signal (arurgent). When enabled and arurgent is asserted by the master, that port becomes the highest priority and co_gs_go2critical_lpr/co_gs_go2critical_hpr signal to DDRC is asserted if enabled in PCCFG.go2critical_en register. Note that arurgent signal can be asserted anytime and as long as required which is independent of address handshaking (it is not associated with any particular command).</t>
  </si>
  <si>
    <t>rd_port_aging_en</t>
  </si>
  <si>
    <t>If set to 1, enables aging function for the read channel of the port.</t>
  </si>
  <si>
    <t>read_reorder_bypass_en</t>
  </si>
  <si>
    <t>If set to 1, read transactions with ID not covered by any of the virtual channel ID mapping registers are not reordered.</t>
  </si>
  <si>
    <t>rd_port_priority</t>
  </si>
  <si>
    <t>Determines the initial load value of read aging counters. These counters will be parallel loaded after reset, or after each grant to the corresponding port. The aging counters down-count every clock cycle where the port is requesting but not granted. The higher significant 5-bits of the read aging counter sets the priority of the read channel of a given port. Port's priority will increase as the higher significant 5-bits of the counter starts to decrease. When the aging counter becomes 0, the corresponding port channel will have the highest priority level (timeout condition - Priority0). For multi-port configurations, the aging counters cannot be used to set port priorities when external dynamic priority inputs (arqos) are enabled (timeout is still applicable). For single port configurations, the aging counters are only used when they timeout (become 0) to force read-write direction switching. In this case, external dynamic priority input, arqos (for reads only) can still be used to set the DDRC read priority (2 priority levels: low priority read - LPR, high priority read - HPR) on a command by command basis.
Note: The two LSBs of this register field are tied internally to 2'b00.</t>
  </si>
  <si>
    <t>wr_port_pagematch_en</t>
  </si>
  <si>
    <t>If set to 1, enables the Page Match feature. If enabled, once a requesting port is granted, the port is continued to be granted if the following immediate commands are to the same memory page (same bank and same row). See also related PCCFG.pagematch_limit register.
Value After Reset: 0x1</t>
  </si>
  <si>
    <t>DDRC_PCFGW_0</t>
  </si>
  <si>
    <t>wr_port_urgent_en</t>
  </si>
  <si>
    <t>If set to 1, enables the AXI urgent sideband signal (awurgent). When enabled and awurgent is asserted by the master, that port becomes the highest priority and co_gs_go2critical_wr signal to DDRC is asserted if enabled in PCCFG.go2critical_en register.
Note that awurgent signal can be asserted anytime and as long as required which is independent of address handshaking (it is not associated with any particular command).
Value After Reset: 0x0</t>
  </si>
  <si>
    <t>wr_port_aging_en</t>
  </si>
  <si>
    <t>If set to 1, enables aging function for the write channel of the port.
Value After Reset: 0x0</t>
  </si>
  <si>
    <t>wr_port_priority</t>
  </si>
  <si>
    <t>Determines the initial load value of write aging counters. These counters will be parallel loaded after reset, or after each grant to the corresponding port. The aging counters down-count every clock cycle where the port is requesting but not granted. The higher significant 5-bits of the write aging counter sets the initial priority of the write channel of a given port. Port's priority will increase as the higher significant 5-bits of the counter starts to decrease. When the aging counter becomes 0, the corresponding port channel will have the highest priority level.
For multi-port configurations, the aging counters cannot be used to set port priorities when external dynamic priority inputs (awqos) are enabled (timeout is still applicable).
For single port configurations, the aging counters are only used when they timeout (become 0) to force read-write direction switching.
Note: The two LSBs of this register field are tied internally to 2'b00.
Value After Reset: 0x0</t>
  </si>
  <si>
    <t>rqos_map_region2</t>
  </si>
  <si>
    <t>This bitfield indicates the traffic class of region2.
For dual address queue configurations, region2 maps to the red address queue.
Valid values are 1: VPR and 2: HPR only.
When VPR support is disabled (UMCTL2_VPR_EN = 0) and traffic class of region2 is set to 1 (VPR), VPR traffic is aliased to LPR traffic.
Value After Reset: 0x2</t>
  </si>
  <si>
    <t>DDRC_PCFGQOS0_0</t>
  </si>
  <si>
    <t>rqos_map_region1</t>
  </si>
  <si>
    <t>This bitfield indicates the traffic class of region 1.
Valid values are:
0 : LPR, 1: VPR, 2: HPR.
For dual address queue configurations, region1 maps to the blue address queue.
In this case, valid values are
0: LPR and 1: VPR only.
When VPR support is disabled (UMCTL2_VPR_EN = 0) and traffic class of region 1 is set to 1 (VPR), VPR traffic is aliased to LPR traffic.
Value After Reset: 0x0</t>
  </si>
  <si>
    <t>rqos_map_region0</t>
  </si>
  <si>
    <t>This bitfield indicates the traffic class of region 0.
Valid values are:
0: LPR, 1: VPR, 2: HPR.
For dual address queue configurations, region 0 maps to the blue address queue.
In this case, valid values are:
0: LPR and 1: VPR only.
When VPR support is disabled (UMCTL2_VPR_EN = 0) and traffic class of region0 is set to 1 (VPR), VPR traffic is aliased to LPR traffic.
Value After Reset: 0x0</t>
  </si>
  <si>
    <t>rqos_map_level2</t>
  </si>
  <si>
    <t>Separation level2 indicating the end of region1 mapping; start of region1 is (level1 + 1). Possible values for level2 are (level1 + 1) to 14 which corresponds to arqos. Region2 starts from (level2 + 1) up to 15.
Note that for PA, arqos values are used directly as port priorities, where the higher the value corresponds to higher port priority.
All of the map_level* registers must be set to distinct values.
Value After Reset: 0xe</t>
  </si>
  <si>
    <t>rqos_map_level1</t>
  </si>
  <si>
    <t>Separation level1 indicating the end of region0 mapping; start of region0 is 0. Possible values for level1 are 0 to 13 (for dual RAQ) or 0 to 14 (for single RAQ) which corresponds to arqos.
Note that for PA, arqos values are used directly as port priorities, where the higher the value corresponds to higher port priority.
All of the map_level* registers must be set to distinct values.
Value After Reset: 0x0</t>
  </si>
  <si>
    <t>rqos_map_timeoutr</t>
  </si>
  <si>
    <t>Specifies the timeout value for transactions mapped to the red address queue.
Value After Reset: 0x0</t>
  </si>
  <si>
    <t xml:space="preserve">DDRC_PCFGQOS1_0 </t>
  </si>
  <si>
    <t>rqos_map_timeoutb</t>
  </si>
  <si>
    <t>Specifies the timeout value for transactions mapped to the blue address queue.
Value After Reset: 0x0</t>
  </si>
  <si>
    <t>wqos_map_region2</t>
  </si>
  <si>
    <t>This bitfield indicates the traffic class of region 2.
Valid values are:
0: NPW, 1: VPW.
When VPW support is disabled (UMCTL2_VPW_EN = 0) and traffic class of region 1 is set to 1 (VPW), VPW traffic is aliased to NPW traffic.
Value After Reset: 0x0</t>
  </si>
  <si>
    <t>DDRC_PCFGWQOS0_0</t>
  </si>
  <si>
    <t>wqos_map_region1</t>
  </si>
  <si>
    <t>This bitfield indicates the traffic class of region 1.
Valid values are:
0: NPW, 1: VPW.
When VPW support is disabled (UMCTL2_VPW_EN = 0) and traffic class of region 1 is set to 1 (VPW), VPW traffic is aliased to NPW traffic.
Value After Reset: 0x0</t>
  </si>
  <si>
    <t>wqos_map_region0</t>
  </si>
  <si>
    <t>This bitfield indicates the traffic class of region 0.
Valid values are:
0: NPW, 1: VPW.
When VPW support is disabled (UMCTL2_VPW_EN = 0) and traffic class of region0 is set to 1 (VPW), VPW traffic is aliased to NPW traffic.
Value After Reset: 0x0</t>
  </si>
  <si>
    <t>wqos_map_level</t>
  </si>
  <si>
    <t>Separation level indicating the end of region0 mapping; start of region0 is 0. Possible values for level1 are 0 to 14 which corresponds to awqos.
Note that for PA, awqos values are used directly as port priorities, where the higher the value corresponds to higher port priority.
Value After Reset: 0x0</t>
  </si>
  <si>
    <t>wqos_map_timeout</t>
  </si>
  <si>
    <t>Specifies the timeout value for write transactions.
Value After Reset: 0x0</t>
  </si>
  <si>
    <t>DDRC_PCFGWQOS1_0</t>
  </si>
  <si>
    <t>FREQ1 Setpoint Parameters (strongly recommended not to modify)</t>
  </si>
  <si>
    <t>Refer to this register's bit description previously described above</t>
  </si>
  <si>
    <t>DDRC_FREQ1_DRAMTMG0</t>
  </si>
  <si>
    <t>DDRC_FREQ1_DRAMTMG1</t>
  </si>
  <si>
    <t>DDRC_FREQ1_DRAMTMG2</t>
  </si>
  <si>
    <t>DDRC_FREQ1_DRAMTMG3</t>
  </si>
  <si>
    <t>DDRC_FREQ1_DRAMTMG4</t>
  </si>
  <si>
    <t>DDRC_FREQ1_DRAMTMG5</t>
  </si>
  <si>
    <t>DDRC_FREQ1_DRAMTMG6</t>
  </si>
  <si>
    <t>DDRC_FREQ1_DRAMTMG7</t>
  </si>
  <si>
    <t>DDRC_FREQ1_DRAMTMG12</t>
  </si>
  <si>
    <t>DDRC_FREQ1_DRAMTMG13</t>
  </si>
  <si>
    <t>DDRC_FREQ1_DRAMTMG14</t>
  </si>
  <si>
    <t>DDRC_FREQ1_DRAMTMG17</t>
  </si>
  <si>
    <t>DDRC_FREQ1_DERATEEN</t>
  </si>
  <si>
    <t>DDRC_FREQ1_DERATEINT</t>
  </si>
  <si>
    <t>DDRC_FREQ1_RFSHCTL0</t>
  </si>
  <si>
    <t>DDRC_FREQ1_ZQCTL0</t>
  </si>
  <si>
    <t>DDRC_FREQ1_DFITMG0</t>
  </si>
  <si>
    <t>DDRC_FREQ1_DFITMG1</t>
  </si>
  <si>
    <t>DDRC_FREQ1_DFITMG2</t>
  </si>
  <si>
    <t>DDRC_FREQ1_RFSHTMG</t>
  </si>
  <si>
    <r>
      <rPr>
        <rFont val="Arial"/>
        <b/>
        <color theme="1"/>
        <sz val="10.0"/>
      </rPr>
      <t>MR</t>
    </r>
    <r>
      <rPr>
        <rFont val="Arial"/>
        <color theme="1"/>
        <sz val="10.0"/>
      </rPr>
      <t xml:space="preserve">
LPDDR4 </t>
    </r>
    <r>
      <rPr>
        <rFont val="Arial"/>
        <b/>
        <color theme="1"/>
        <sz val="10.0"/>
      </rPr>
      <t>MR1:</t>
    </r>
    <r>
      <rPr>
        <rFont val="Arial"/>
        <color theme="1"/>
        <sz val="10.0"/>
      </rPr>
      <t xml:space="preserve"> RPST (RD Post-Amble Length)</t>
    </r>
  </si>
  <si>
    <t>DDRC_FREQ1_INIT3</t>
  </si>
  <si>
    <r>
      <rPr>
        <rFont val="Arial"/>
        <b/>
        <color theme="1"/>
        <sz val="10.0"/>
      </rPr>
      <t>MR</t>
    </r>
    <r>
      <rPr>
        <rFont val="Arial"/>
        <color theme="1"/>
        <sz val="10.0"/>
      </rPr>
      <t xml:space="preserve">
LPDDR4 </t>
    </r>
    <r>
      <rPr>
        <rFont val="Arial"/>
        <b/>
        <color theme="1"/>
        <sz val="10.0"/>
      </rPr>
      <t>MR1:</t>
    </r>
    <r>
      <rPr>
        <rFont val="Arial"/>
        <color theme="1"/>
        <sz val="10.0"/>
      </rPr>
      <t xml:space="preserve"> nWR (Write-Recovery for Auto-Pre-charge commands)</t>
    </r>
  </si>
  <si>
    <r>
      <rPr>
        <rFont val="Arial"/>
        <b/>
        <color theme="1"/>
        <sz val="10.0"/>
      </rPr>
      <t>MR</t>
    </r>
    <r>
      <rPr>
        <rFont val="Arial"/>
        <color theme="1"/>
        <sz val="10.0"/>
      </rPr>
      <t xml:space="preserve">
LPDDR4 </t>
    </r>
    <r>
      <rPr>
        <rFont val="Arial"/>
        <b/>
        <color theme="1"/>
        <sz val="10.0"/>
      </rPr>
      <t>MR1:</t>
    </r>
    <r>
      <rPr>
        <rFont val="Arial"/>
        <color theme="1"/>
        <sz val="10.0"/>
      </rPr>
      <t xml:space="preserve"> RD-PRE (RD Pre-amble Type)</t>
    </r>
  </si>
  <si>
    <r>
      <rPr>
        <rFont val="Arial"/>
        <b/>
        <color theme="1"/>
        <sz val="10.0"/>
      </rPr>
      <t>MR</t>
    </r>
    <r>
      <rPr>
        <rFont val="Arial"/>
        <color theme="1"/>
        <sz val="10.0"/>
      </rPr>
      <t xml:space="preserve">
LPDDR4 </t>
    </r>
    <r>
      <rPr>
        <rFont val="Arial"/>
        <b/>
        <color theme="1"/>
        <sz val="10.0"/>
      </rPr>
      <t>MR1:</t>
    </r>
    <r>
      <rPr>
        <rFont val="Arial"/>
        <color theme="1"/>
        <sz val="10.0"/>
      </rPr>
      <t xml:space="preserve"> WR-PRE (WR Pre-amble Length)</t>
    </r>
  </si>
  <si>
    <r>
      <rPr>
        <rFont val="Arial"/>
        <b/>
        <color theme="1"/>
        <sz val="10.0"/>
      </rPr>
      <t>MR</t>
    </r>
    <r>
      <rPr>
        <rFont val="Arial"/>
        <color theme="1"/>
        <sz val="10.0"/>
      </rPr>
      <t xml:space="preserve">
LPDDR4 </t>
    </r>
    <r>
      <rPr>
        <rFont val="Arial"/>
        <b/>
        <color theme="1"/>
        <sz val="10.0"/>
      </rPr>
      <t>MR1:</t>
    </r>
    <r>
      <rPr>
        <rFont val="Arial"/>
        <color theme="1"/>
        <sz val="10.0"/>
      </rPr>
      <t xml:space="preserve"> BL (Burst Length)</t>
    </r>
  </si>
  <si>
    <r>
      <rPr>
        <rFont val="Arial"/>
        <b/>
        <color theme="1"/>
        <sz val="10.0"/>
      </rPr>
      <t>EMR</t>
    </r>
    <r>
      <rPr>
        <rFont val="Arial"/>
        <color theme="1"/>
        <sz val="10.0"/>
      </rPr>
      <t xml:space="preserve">
LPDDR4 </t>
    </r>
    <r>
      <rPr>
        <rFont val="Arial"/>
        <b/>
        <color theme="1"/>
        <sz val="10.0"/>
      </rPr>
      <t>MR2:</t>
    </r>
    <r>
      <rPr>
        <rFont val="Arial"/>
        <color theme="1"/>
        <sz val="10.0"/>
      </rPr>
      <t xml:space="preserve"> WR Lev (Write Leveling)</t>
    </r>
  </si>
  <si>
    <r>
      <rPr>
        <rFont val="Arial"/>
        <b/>
        <color theme="1"/>
        <sz val="10.0"/>
      </rPr>
      <t>EMR</t>
    </r>
    <r>
      <rPr>
        <rFont val="Arial"/>
        <color theme="1"/>
        <sz val="10.0"/>
      </rPr>
      <t xml:space="preserve">
LPDDR4 </t>
    </r>
    <r>
      <rPr>
        <rFont val="Arial"/>
        <b/>
        <color theme="1"/>
        <sz val="10.0"/>
      </rPr>
      <t>MR2:</t>
    </r>
    <r>
      <rPr>
        <rFont val="Arial"/>
        <color theme="1"/>
        <sz val="10.0"/>
      </rPr>
      <t xml:space="preserve"> WLS (Write Latency Set)</t>
    </r>
  </si>
  <si>
    <r>
      <rPr>
        <rFont val="Arial"/>
        <b/>
        <color theme="1"/>
        <sz val="10.0"/>
      </rPr>
      <t>EMR</t>
    </r>
    <r>
      <rPr>
        <rFont val="Arial"/>
        <color theme="1"/>
        <sz val="10.0"/>
      </rPr>
      <t xml:space="preserve">
LPDDR4 </t>
    </r>
    <r>
      <rPr>
        <rFont val="Arial"/>
        <b/>
        <color theme="1"/>
        <sz val="10.0"/>
      </rPr>
      <t>MR2:</t>
    </r>
    <r>
      <rPr>
        <rFont val="Arial"/>
        <color theme="1"/>
        <sz val="10.0"/>
      </rPr>
      <t xml:space="preserve"> WL (Write Latency)</t>
    </r>
  </si>
  <si>
    <r>
      <rPr>
        <rFont val="Arial"/>
        <b/>
        <color theme="1"/>
        <sz val="10.0"/>
      </rPr>
      <t>EMR</t>
    </r>
    <r>
      <rPr>
        <rFont val="Arial"/>
        <color theme="1"/>
        <sz val="10.0"/>
      </rPr>
      <t xml:space="preserve">
LPDDR4 </t>
    </r>
    <r>
      <rPr>
        <rFont val="Arial"/>
        <b/>
        <color theme="1"/>
        <sz val="10.0"/>
      </rPr>
      <t>MR2:</t>
    </r>
    <r>
      <rPr>
        <rFont val="Arial"/>
        <color theme="1"/>
        <sz val="10.0"/>
      </rPr>
      <t xml:space="preserve"> RL (Read Latency)</t>
    </r>
  </si>
  <si>
    <r>
      <rPr>
        <rFont val="Arial"/>
        <color theme="1"/>
        <sz val="10.0"/>
      </rPr>
      <t xml:space="preserve">LPDDR4 </t>
    </r>
    <r>
      <rPr>
        <rFont val="Arial"/>
        <b/>
        <color theme="1"/>
        <sz val="10.0"/>
      </rPr>
      <t>MR11</t>
    </r>
    <r>
      <rPr>
        <rFont val="Arial"/>
        <color theme="1"/>
        <sz val="10.0"/>
      </rPr>
      <t>: CA ODT</t>
    </r>
  </si>
  <si>
    <t>DDRC_FREQ1_INIT6</t>
  </si>
  <si>
    <r>
      <rPr>
        <rFont val="Arial"/>
        <color theme="1"/>
        <sz val="10.0"/>
      </rPr>
      <t xml:space="preserve">LPDDR4 </t>
    </r>
    <r>
      <rPr>
        <rFont val="Arial"/>
        <b/>
        <color theme="1"/>
        <sz val="10.0"/>
      </rPr>
      <t>MR11</t>
    </r>
    <r>
      <rPr>
        <rFont val="Arial"/>
        <color theme="1"/>
        <sz val="10.0"/>
      </rPr>
      <t>: DQ ODT</t>
    </r>
  </si>
  <si>
    <r>
      <rPr>
        <rFont val="Arial"/>
        <color theme="1"/>
        <sz val="10.0"/>
      </rPr>
      <t xml:space="preserve">LPDDR4 </t>
    </r>
    <r>
      <rPr>
        <rFont val="Arial"/>
        <b/>
        <color theme="1"/>
        <sz val="10.0"/>
      </rPr>
      <t>MR12</t>
    </r>
    <r>
      <rPr>
        <rFont val="Arial"/>
        <color theme="1"/>
        <sz val="10.0"/>
      </rPr>
      <t>: VRCA</t>
    </r>
  </si>
  <si>
    <r>
      <rPr>
        <rFont val="Arial"/>
        <color theme="1"/>
        <sz val="10.0"/>
      </rPr>
      <t xml:space="preserve">LPDDR4 </t>
    </r>
    <r>
      <rPr>
        <rFont val="Arial"/>
        <b/>
        <color theme="1"/>
        <sz val="10.0"/>
      </rPr>
      <t>MR12</t>
    </r>
    <r>
      <rPr>
        <rFont val="Arial"/>
        <color theme="1"/>
        <sz val="10.0"/>
      </rPr>
      <t>: VREF(CA)</t>
    </r>
  </si>
  <si>
    <r>
      <rPr>
        <rFont val="Arial"/>
        <color theme="1"/>
        <sz val="10.0"/>
      </rPr>
      <t xml:space="preserve">LPDDR4 </t>
    </r>
    <r>
      <rPr>
        <rFont val="Arial"/>
        <b/>
        <color theme="1"/>
        <sz val="10.0"/>
      </rPr>
      <t>MR22</t>
    </r>
    <r>
      <rPr>
        <rFont val="Arial"/>
        <color theme="1"/>
        <sz val="10.0"/>
      </rPr>
      <t>: ODTD-CA</t>
    </r>
  </si>
  <si>
    <t>DDRC_FREQ1_INIT7</t>
  </si>
  <si>
    <r>
      <rPr>
        <rFont val="Arial"/>
        <color theme="1"/>
        <sz val="10.0"/>
      </rPr>
      <t xml:space="preserve">LPDDR4 </t>
    </r>
    <r>
      <rPr>
        <rFont val="Arial"/>
        <b/>
        <color theme="1"/>
        <sz val="10.0"/>
      </rPr>
      <t>MR22</t>
    </r>
    <r>
      <rPr>
        <rFont val="Arial"/>
        <color theme="1"/>
        <sz val="10.0"/>
      </rPr>
      <t>: ODTE-CS</t>
    </r>
  </si>
  <si>
    <r>
      <rPr>
        <rFont val="Arial"/>
        <color theme="1"/>
        <sz val="10.0"/>
      </rPr>
      <t xml:space="preserve">LPDDR4 </t>
    </r>
    <r>
      <rPr>
        <rFont val="Arial"/>
        <b/>
        <color theme="1"/>
        <sz val="10.0"/>
      </rPr>
      <t>MR22</t>
    </r>
    <r>
      <rPr>
        <rFont val="Arial"/>
        <color theme="1"/>
        <sz val="10.0"/>
      </rPr>
      <t>: ODTE-CK</t>
    </r>
  </si>
  <si>
    <r>
      <rPr>
        <rFont val="Arial"/>
        <color theme="1"/>
        <sz val="10.0"/>
      </rPr>
      <t xml:space="preserve">LPDDR4 </t>
    </r>
    <r>
      <rPr>
        <rFont val="Arial"/>
        <b/>
        <color theme="1"/>
        <sz val="10.0"/>
      </rPr>
      <t>MR22</t>
    </r>
    <r>
      <rPr>
        <rFont val="Arial"/>
        <color theme="1"/>
        <sz val="10.0"/>
      </rPr>
      <t>: SOC ODT</t>
    </r>
  </si>
  <si>
    <r>
      <rPr>
        <rFont val="Arial"/>
        <color theme="1"/>
        <sz val="10.0"/>
      </rPr>
      <t xml:space="preserve">LPDDR4 </t>
    </r>
    <r>
      <rPr>
        <rFont val="Arial"/>
        <b/>
        <color theme="1"/>
        <sz val="10.0"/>
      </rPr>
      <t>MR14</t>
    </r>
    <r>
      <rPr>
        <rFont val="Arial"/>
        <color theme="1"/>
        <sz val="10.0"/>
      </rPr>
      <t>: VRDQ</t>
    </r>
  </si>
  <si>
    <r>
      <rPr>
        <rFont val="Arial"/>
        <color theme="1"/>
        <sz val="10.0"/>
      </rPr>
      <t xml:space="preserve">LPDDR4 </t>
    </r>
    <r>
      <rPr>
        <rFont val="Arial"/>
        <b/>
        <color theme="1"/>
        <sz val="10.0"/>
      </rPr>
      <t>MR14</t>
    </r>
    <r>
      <rPr>
        <rFont val="Arial"/>
        <color theme="1"/>
        <sz val="10.0"/>
      </rPr>
      <t>: VREF(DQ)</t>
    </r>
  </si>
  <si>
    <r>
      <rPr>
        <rFont val="Arial"/>
        <b/>
        <color theme="1"/>
        <sz val="10.0"/>
      </rPr>
      <t>EMR2</t>
    </r>
    <r>
      <rPr>
        <rFont val="Arial"/>
        <color theme="1"/>
        <sz val="10.0"/>
      </rPr>
      <t xml:space="preserve">
LPDDR4 </t>
    </r>
    <r>
      <rPr>
        <rFont val="Arial"/>
        <b/>
        <color theme="1"/>
        <sz val="10.0"/>
      </rPr>
      <t>MR3:</t>
    </r>
    <r>
      <rPr>
        <rFont val="Arial"/>
        <color theme="1"/>
        <sz val="10.0"/>
      </rPr>
      <t xml:space="preserve"> DBI-WR (DBI-WRITE Enable)</t>
    </r>
  </si>
  <si>
    <t>DDRC_FREQ1_INIT4</t>
  </si>
  <si>
    <r>
      <rPr>
        <rFont val="Arial"/>
        <b/>
        <color theme="1"/>
        <sz val="10.0"/>
      </rPr>
      <t>EMR2</t>
    </r>
    <r>
      <rPr>
        <rFont val="Arial"/>
        <color theme="1"/>
        <sz val="10.0"/>
      </rPr>
      <t xml:space="preserve">
LPDDR4 </t>
    </r>
    <r>
      <rPr>
        <rFont val="Arial"/>
        <b/>
        <color theme="1"/>
        <sz val="10.0"/>
      </rPr>
      <t>MR3:</t>
    </r>
    <r>
      <rPr>
        <rFont val="Arial"/>
        <color theme="1"/>
        <sz val="10.0"/>
      </rPr>
      <t xml:space="preserve"> DBI-RD (DBI-READ Enable)</t>
    </r>
  </si>
  <si>
    <r>
      <rPr>
        <rFont val="Arial"/>
        <b/>
        <color theme="1"/>
        <sz val="10.0"/>
      </rPr>
      <t>EMR2</t>
    </r>
    <r>
      <rPr>
        <rFont val="Arial"/>
        <color theme="1"/>
        <sz val="10.0"/>
      </rPr>
      <t xml:space="preserve">
LPDDR4 </t>
    </r>
    <r>
      <rPr>
        <rFont val="Arial"/>
        <b/>
        <color theme="1"/>
        <sz val="10.0"/>
      </rPr>
      <t>MR3:</t>
    </r>
    <r>
      <rPr>
        <rFont val="Arial"/>
        <color theme="1"/>
        <sz val="10.0"/>
      </rPr>
      <t xml:space="preserve"> PDDS (Pull-Down Drive Strength)</t>
    </r>
  </si>
  <si>
    <r>
      <rPr>
        <rFont val="Arial"/>
        <b/>
        <color theme="1"/>
        <sz val="10.0"/>
      </rPr>
      <t>EMR2</t>
    </r>
    <r>
      <rPr>
        <rFont val="Arial"/>
        <color theme="1"/>
        <sz val="10.0"/>
      </rPr>
      <t xml:space="preserve">
LPDDR4 </t>
    </r>
    <r>
      <rPr>
        <rFont val="Arial"/>
        <b/>
        <color theme="1"/>
        <sz val="10.0"/>
      </rPr>
      <t>MR3:</t>
    </r>
    <r>
      <rPr>
        <rFont val="Arial"/>
        <color theme="1"/>
        <sz val="10.0"/>
      </rPr>
      <t xml:space="preserve"> Post Package Repair Protection</t>
    </r>
  </si>
  <si>
    <r>
      <rPr>
        <rFont val="Arial"/>
        <b/>
        <color theme="1"/>
        <sz val="10.0"/>
      </rPr>
      <t>EMR2</t>
    </r>
    <r>
      <rPr>
        <rFont val="Arial"/>
        <color theme="1"/>
        <sz val="10.0"/>
      </rPr>
      <t xml:space="preserve">
LPDDR4 </t>
    </r>
    <r>
      <rPr>
        <rFont val="Arial"/>
        <b/>
        <color theme="1"/>
        <sz val="10.0"/>
      </rPr>
      <t>MR3:</t>
    </r>
    <r>
      <rPr>
        <rFont val="Arial"/>
        <color theme="1"/>
        <sz val="10.0"/>
      </rPr>
      <t xml:space="preserve"> WR PST (WR Post-Amble Length)</t>
    </r>
  </si>
  <si>
    <r>
      <rPr>
        <rFont val="Arial"/>
        <b/>
        <color theme="1"/>
        <sz val="10.0"/>
      </rPr>
      <t>EMR2</t>
    </r>
    <r>
      <rPr>
        <rFont val="Arial"/>
        <color theme="1"/>
        <sz val="10.0"/>
      </rPr>
      <t xml:space="preserve">
LPDDR4 </t>
    </r>
    <r>
      <rPr>
        <rFont val="Arial"/>
        <b/>
        <color theme="1"/>
        <sz val="10.0"/>
      </rPr>
      <t>MR3:</t>
    </r>
    <r>
      <rPr>
        <rFont val="Arial"/>
        <color theme="1"/>
        <sz val="10.0"/>
      </rPr>
      <t xml:space="preserve"> PU-Cal (Pull-up Calibration Point)</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</si>
  <si>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FSP-OP (Frequency Set Point Operation Mode)</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</si>
  <si>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FSP-WR (Frequency Set Point Write Enable)</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</si>
  <si>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DMD (Data Mask Disable)</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</si>
  <si>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RRO Refresh rate option</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</si>
  <si>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VRCG (VREF Current Generator)</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</si>
  <si>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VRO (VREF Output)</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</si>
  <si>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RPT (Read Preamble Training Mode)</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</si>
  <si>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CBT (Command Bus Training)</t>
    </r>
  </si>
  <si>
    <t>DDRC_FREQ1_RANKCTL</t>
  </si>
  <si>
    <t>FREQ2 Setpoint Parameters (strongly recommended not to modify)</t>
  </si>
  <si>
    <t>DDRC_FREQ2_DRAMTMG0</t>
  </si>
  <si>
    <t>DDRC_FREQ2_DRAMTMG1</t>
  </si>
  <si>
    <t>DDRC_FREQ2_DRAMTMG2</t>
  </si>
  <si>
    <t>DDRC_FREQ2_DRAMTMG3</t>
  </si>
  <si>
    <t>DDRC_FREQ2_DRAMTMG4</t>
  </si>
  <si>
    <t>DDRC_FREQ2_DRAMTMG5</t>
  </si>
  <si>
    <t>DDRC_FREQ2_DRAMTMG6</t>
  </si>
  <si>
    <t>DDRC_FREQ2_DRAMTMG7</t>
  </si>
  <si>
    <t>DDRC_FREQ2_DRAMTMG12</t>
  </si>
  <si>
    <t>DDRC_FREQ2_DRAMTMG13</t>
  </si>
  <si>
    <t>DDRC_FREQ2_DRAMTMG14</t>
  </si>
  <si>
    <t>DDRC_FREQ2_DRAMTMG17</t>
  </si>
  <si>
    <t>DDRC_FREQ2_DERATEEN</t>
  </si>
  <si>
    <t>DDRC_FREQ2_DERATEINT</t>
  </si>
  <si>
    <t>DDRC_FREQ2_RFSHCTL0</t>
  </si>
  <si>
    <t>DDRC_FREQ2_ZQCTL0</t>
  </si>
  <si>
    <t>DDRC_FREQ2_DFITMG0</t>
  </si>
  <si>
    <t>DDRC_FREQ2_DFITMG1</t>
  </si>
  <si>
    <t>DDRC_FREQ2_DFITMG2</t>
  </si>
  <si>
    <t>DDRC_FREQ2_RFSHTMG</t>
  </si>
  <si>
    <r>
      <rPr>
        <rFont val="Arial"/>
        <b/>
        <color theme="1"/>
        <sz val="10.0"/>
      </rPr>
      <t>MR</t>
    </r>
    <r>
      <rPr>
        <rFont val="Arial"/>
        <color theme="1"/>
        <sz val="10.0"/>
      </rPr>
      <t xml:space="preserve">
LPDDR4 </t>
    </r>
    <r>
      <rPr>
        <rFont val="Arial"/>
        <b/>
        <color theme="1"/>
        <sz val="10.0"/>
      </rPr>
      <t>MR1:</t>
    </r>
    <r>
      <rPr>
        <rFont val="Arial"/>
        <color theme="1"/>
        <sz val="10.0"/>
      </rPr>
      <t xml:space="preserve"> RPST (RD Post-Amble Length)</t>
    </r>
  </si>
  <si>
    <t>DDRC_FREQ2_INIT3</t>
  </si>
  <si>
    <r>
      <rPr>
        <rFont val="Arial"/>
        <b/>
        <color theme="1"/>
        <sz val="10.0"/>
      </rPr>
      <t>MR</t>
    </r>
    <r>
      <rPr>
        <rFont val="Arial"/>
        <color theme="1"/>
        <sz val="10.0"/>
      </rPr>
      <t xml:space="preserve">
LPDDR4 </t>
    </r>
    <r>
      <rPr>
        <rFont val="Arial"/>
        <b/>
        <color theme="1"/>
        <sz val="10.0"/>
      </rPr>
      <t>MR1:</t>
    </r>
    <r>
      <rPr>
        <rFont val="Arial"/>
        <color theme="1"/>
        <sz val="10.0"/>
      </rPr>
      <t xml:space="preserve"> nWR (Write-Recovery for Auto-Pre-charge commands)</t>
    </r>
  </si>
  <si>
    <r>
      <rPr>
        <rFont val="Arial"/>
        <b/>
        <color theme="1"/>
        <sz val="10.0"/>
      </rPr>
      <t>MR</t>
    </r>
    <r>
      <rPr>
        <rFont val="Arial"/>
        <color theme="1"/>
        <sz val="10.0"/>
      </rPr>
      <t xml:space="preserve">
LPDDR4 </t>
    </r>
    <r>
      <rPr>
        <rFont val="Arial"/>
        <b/>
        <color theme="1"/>
        <sz val="10.0"/>
      </rPr>
      <t>MR1:</t>
    </r>
    <r>
      <rPr>
        <rFont val="Arial"/>
        <color theme="1"/>
        <sz val="10.0"/>
      </rPr>
      <t xml:space="preserve"> RD-PRE (RD Pre-amble Type)</t>
    </r>
  </si>
  <si>
    <r>
      <rPr>
        <rFont val="Arial"/>
        <b/>
        <color theme="1"/>
        <sz val="10.0"/>
      </rPr>
      <t>MR</t>
    </r>
    <r>
      <rPr>
        <rFont val="Arial"/>
        <color theme="1"/>
        <sz val="10.0"/>
      </rPr>
      <t xml:space="preserve">
LPDDR4 </t>
    </r>
    <r>
      <rPr>
        <rFont val="Arial"/>
        <b/>
        <color theme="1"/>
        <sz val="10.0"/>
      </rPr>
      <t>MR1:</t>
    </r>
    <r>
      <rPr>
        <rFont val="Arial"/>
        <color theme="1"/>
        <sz val="10.0"/>
      </rPr>
      <t xml:space="preserve"> WR-PRE (WR Pre-amble Length)</t>
    </r>
  </si>
  <si>
    <r>
      <rPr>
        <rFont val="Arial"/>
        <b/>
        <color theme="1"/>
        <sz val="10.0"/>
      </rPr>
      <t>MR</t>
    </r>
    <r>
      <rPr>
        <rFont val="Arial"/>
        <color theme="1"/>
        <sz val="10.0"/>
      </rPr>
      <t xml:space="preserve">
LPDDR4 </t>
    </r>
    <r>
      <rPr>
        <rFont val="Arial"/>
        <b/>
        <color theme="1"/>
        <sz val="10.0"/>
      </rPr>
      <t>MR1:</t>
    </r>
    <r>
      <rPr>
        <rFont val="Arial"/>
        <color theme="1"/>
        <sz val="10.0"/>
      </rPr>
      <t xml:space="preserve"> BL (Burst Length)</t>
    </r>
  </si>
  <si>
    <r>
      <rPr>
        <rFont val="Arial"/>
        <b/>
        <color theme="1"/>
        <sz val="10.0"/>
      </rPr>
      <t>EMR</t>
    </r>
    <r>
      <rPr>
        <rFont val="Arial"/>
        <color theme="1"/>
        <sz val="10.0"/>
      </rPr>
      <t xml:space="preserve">
LPDDR4 </t>
    </r>
    <r>
      <rPr>
        <rFont val="Arial"/>
        <b/>
        <color theme="1"/>
        <sz val="10.0"/>
      </rPr>
      <t>MR2:</t>
    </r>
    <r>
      <rPr>
        <rFont val="Arial"/>
        <color theme="1"/>
        <sz val="10.0"/>
      </rPr>
      <t xml:space="preserve"> WR Lev (Write Leveling)</t>
    </r>
  </si>
  <si>
    <r>
      <rPr>
        <rFont val="Arial"/>
        <b/>
        <color theme="1"/>
        <sz val="10.0"/>
      </rPr>
      <t>EMR</t>
    </r>
    <r>
      <rPr>
        <rFont val="Arial"/>
        <color theme="1"/>
        <sz val="10.0"/>
      </rPr>
      <t xml:space="preserve">
LPDDR4 </t>
    </r>
    <r>
      <rPr>
        <rFont val="Arial"/>
        <b/>
        <color theme="1"/>
        <sz val="10.0"/>
      </rPr>
      <t>MR2:</t>
    </r>
    <r>
      <rPr>
        <rFont val="Arial"/>
        <color theme="1"/>
        <sz val="10.0"/>
      </rPr>
      <t xml:space="preserve"> WLS (Write Latency Set)</t>
    </r>
  </si>
  <si>
    <r>
      <rPr>
        <rFont val="Arial"/>
        <b/>
        <color theme="1"/>
        <sz val="10.0"/>
      </rPr>
      <t>EMR</t>
    </r>
    <r>
      <rPr>
        <rFont val="Arial"/>
        <color theme="1"/>
        <sz val="10.0"/>
      </rPr>
      <t xml:space="preserve">
LPDDR4 </t>
    </r>
    <r>
      <rPr>
        <rFont val="Arial"/>
        <b/>
        <color theme="1"/>
        <sz val="10.0"/>
      </rPr>
      <t>MR2:</t>
    </r>
    <r>
      <rPr>
        <rFont val="Arial"/>
        <color theme="1"/>
        <sz val="10.0"/>
      </rPr>
      <t xml:space="preserve"> WL (Write Latency)</t>
    </r>
  </si>
  <si>
    <r>
      <rPr>
        <rFont val="Arial"/>
        <b/>
        <color theme="1"/>
        <sz val="10.0"/>
      </rPr>
      <t>EMR</t>
    </r>
    <r>
      <rPr>
        <rFont val="Arial"/>
        <color theme="1"/>
        <sz val="10.0"/>
      </rPr>
      <t xml:space="preserve">
LPDDR4 </t>
    </r>
    <r>
      <rPr>
        <rFont val="Arial"/>
        <b/>
        <color theme="1"/>
        <sz val="10.0"/>
      </rPr>
      <t>MR2:</t>
    </r>
    <r>
      <rPr>
        <rFont val="Arial"/>
        <color theme="1"/>
        <sz val="10.0"/>
      </rPr>
      <t xml:space="preserve"> RL (Read Latency)</t>
    </r>
  </si>
  <si>
    <r>
      <rPr>
        <rFont val="Arial"/>
        <color theme="1"/>
        <sz val="10.0"/>
      </rPr>
      <t xml:space="preserve">LPDDR4 </t>
    </r>
    <r>
      <rPr>
        <rFont val="Arial"/>
        <b/>
        <color theme="1"/>
        <sz val="10.0"/>
      </rPr>
      <t>MR11</t>
    </r>
    <r>
      <rPr>
        <rFont val="Arial"/>
        <color theme="1"/>
        <sz val="10.0"/>
      </rPr>
      <t>: CA ODT</t>
    </r>
  </si>
  <si>
    <t>DDRC_FREQ2_INIT6</t>
  </si>
  <si>
    <r>
      <rPr>
        <rFont val="Arial"/>
        <color theme="1"/>
        <sz val="10.0"/>
      </rPr>
      <t xml:space="preserve">LPDDR4 </t>
    </r>
    <r>
      <rPr>
        <rFont val="Arial"/>
        <b/>
        <color theme="1"/>
        <sz val="10.0"/>
      </rPr>
      <t>MR11</t>
    </r>
    <r>
      <rPr>
        <rFont val="Arial"/>
        <color theme="1"/>
        <sz val="10.0"/>
      </rPr>
      <t>: DQ ODT</t>
    </r>
  </si>
  <si>
    <r>
      <rPr>
        <rFont val="Arial"/>
        <color theme="1"/>
        <sz val="10.0"/>
      </rPr>
      <t xml:space="preserve">LPDDR4 </t>
    </r>
    <r>
      <rPr>
        <rFont val="Arial"/>
        <b/>
        <color theme="1"/>
        <sz val="10.0"/>
      </rPr>
      <t>MR12</t>
    </r>
    <r>
      <rPr>
        <rFont val="Arial"/>
        <color theme="1"/>
        <sz val="10.0"/>
      </rPr>
      <t>: VRCA</t>
    </r>
  </si>
  <si>
    <r>
      <rPr>
        <rFont val="Arial"/>
        <color theme="1"/>
        <sz val="10.0"/>
      </rPr>
      <t xml:space="preserve">LPDDR4 </t>
    </r>
    <r>
      <rPr>
        <rFont val="Arial"/>
        <b/>
        <color theme="1"/>
        <sz val="10.0"/>
      </rPr>
      <t>MR12</t>
    </r>
    <r>
      <rPr>
        <rFont val="Arial"/>
        <color theme="1"/>
        <sz val="10.0"/>
      </rPr>
      <t>: VREF(CA)</t>
    </r>
  </si>
  <si>
    <r>
      <rPr>
        <rFont val="Arial"/>
        <color theme="1"/>
        <sz val="10.0"/>
      </rPr>
      <t xml:space="preserve">LPDDR4 </t>
    </r>
    <r>
      <rPr>
        <rFont val="Arial"/>
        <b/>
        <color theme="1"/>
        <sz val="10.0"/>
      </rPr>
      <t>MR22</t>
    </r>
    <r>
      <rPr>
        <rFont val="Arial"/>
        <color theme="1"/>
        <sz val="10.0"/>
      </rPr>
      <t>: ODTD-CA</t>
    </r>
  </si>
  <si>
    <t>DDRC_FREQ2_INIT7</t>
  </si>
  <si>
    <r>
      <rPr>
        <rFont val="Arial"/>
        <color theme="1"/>
        <sz val="10.0"/>
      </rPr>
      <t xml:space="preserve">LPDDR4 </t>
    </r>
    <r>
      <rPr>
        <rFont val="Arial"/>
        <b/>
        <color theme="1"/>
        <sz val="10.0"/>
      </rPr>
      <t>MR22</t>
    </r>
    <r>
      <rPr>
        <rFont val="Arial"/>
        <color theme="1"/>
        <sz val="10.0"/>
      </rPr>
      <t>: ODTE-CS</t>
    </r>
  </si>
  <si>
    <r>
      <rPr>
        <rFont val="Arial"/>
        <color theme="1"/>
        <sz val="10.0"/>
      </rPr>
      <t xml:space="preserve">LPDDR4 </t>
    </r>
    <r>
      <rPr>
        <rFont val="Arial"/>
        <b/>
        <color theme="1"/>
        <sz val="10.0"/>
      </rPr>
      <t>MR22</t>
    </r>
    <r>
      <rPr>
        <rFont val="Arial"/>
        <color theme="1"/>
        <sz val="10.0"/>
      </rPr>
      <t>: ODTE-CK</t>
    </r>
  </si>
  <si>
    <r>
      <rPr>
        <rFont val="Arial"/>
        <color theme="1"/>
        <sz val="10.0"/>
      </rPr>
      <t xml:space="preserve">LPDDR4 </t>
    </r>
    <r>
      <rPr>
        <rFont val="Arial"/>
        <b/>
        <color theme="1"/>
        <sz val="10.0"/>
      </rPr>
      <t>MR22</t>
    </r>
    <r>
      <rPr>
        <rFont val="Arial"/>
        <color theme="1"/>
        <sz val="10.0"/>
      </rPr>
      <t>: SOC ODT</t>
    </r>
  </si>
  <si>
    <r>
      <rPr>
        <rFont val="Arial"/>
        <color theme="1"/>
        <sz val="10.0"/>
      </rPr>
      <t xml:space="preserve">LPDDR4 </t>
    </r>
    <r>
      <rPr>
        <rFont val="Arial"/>
        <b/>
        <color theme="1"/>
        <sz val="10.0"/>
      </rPr>
      <t>MR14</t>
    </r>
    <r>
      <rPr>
        <rFont val="Arial"/>
        <color theme="1"/>
        <sz val="10.0"/>
      </rPr>
      <t>: VRDQ</t>
    </r>
  </si>
  <si>
    <r>
      <rPr>
        <rFont val="Arial"/>
        <color theme="1"/>
        <sz val="10.0"/>
      </rPr>
      <t xml:space="preserve">LPDDR4 </t>
    </r>
    <r>
      <rPr>
        <rFont val="Arial"/>
        <b/>
        <color theme="1"/>
        <sz val="10.0"/>
      </rPr>
      <t>MR14</t>
    </r>
    <r>
      <rPr>
        <rFont val="Arial"/>
        <color theme="1"/>
        <sz val="10.0"/>
      </rPr>
      <t>: VREF(DQ)</t>
    </r>
  </si>
  <si>
    <r>
      <rPr>
        <rFont val="Arial"/>
        <b/>
        <color theme="1"/>
        <sz val="10.0"/>
      </rPr>
      <t>EMR2</t>
    </r>
    <r>
      <rPr>
        <rFont val="Arial"/>
        <color theme="1"/>
        <sz val="10.0"/>
      </rPr>
      <t xml:space="preserve">
LPDDR4 </t>
    </r>
    <r>
      <rPr>
        <rFont val="Arial"/>
        <b/>
        <color theme="1"/>
        <sz val="10.0"/>
      </rPr>
      <t>MR3:</t>
    </r>
    <r>
      <rPr>
        <rFont val="Arial"/>
        <color theme="1"/>
        <sz val="10.0"/>
      </rPr>
      <t xml:space="preserve"> DBI-WR (DBI-WRITE Enable)</t>
    </r>
  </si>
  <si>
    <t>DDRC_FREQ2_INIT4</t>
  </si>
  <si>
    <r>
      <rPr>
        <rFont val="Arial"/>
        <b/>
        <color theme="1"/>
        <sz val="10.0"/>
      </rPr>
      <t>EMR2</t>
    </r>
    <r>
      <rPr>
        <rFont val="Arial"/>
        <color theme="1"/>
        <sz val="10.0"/>
      </rPr>
      <t xml:space="preserve">
LPDDR4 </t>
    </r>
    <r>
      <rPr>
        <rFont val="Arial"/>
        <b/>
        <color theme="1"/>
        <sz val="10.0"/>
      </rPr>
      <t>MR3:</t>
    </r>
    <r>
      <rPr>
        <rFont val="Arial"/>
        <color theme="1"/>
        <sz val="10.0"/>
      </rPr>
      <t xml:space="preserve"> DBI-RD (DBI-READ Enable)</t>
    </r>
  </si>
  <si>
    <r>
      <rPr>
        <rFont val="Arial"/>
        <b/>
        <color theme="1"/>
        <sz val="10.0"/>
      </rPr>
      <t>EMR2</t>
    </r>
    <r>
      <rPr>
        <rFont val="Arial"/>
        <color theme="1"/>
        <sz val="10.0"/>
      </rPr>
      <t xml:space="preserve">
LPDDR4 </t>
    </r>
    <r>
      <rPr>
        <rFont val="Arial"/>
        <b/>
        <color theme="1"/>
        <sz val="10.0"/>
      </rPr>
      <t>MR3:</t>
    </r>
    <r>
      <rPr>
        <rFont val="Arial"/>
        <color theme="1"/>
        <sz val="10.0"/>
      </rPr>
      <t xml:space="preserve"> PDDS (Pull-Down Drive Strength)</t>
    </r>
  </si>
  <si>
    <r>
      <rPr>
        <rFont val="Arial"/>
        <b/>
        <color theme="1"/>
        <sz val="10.0"/>
      </rPr>
      <t>EMR2</t>
    </r>
    <r>
      <rPr>
        <rFont val="Arial"/>
        <color theme="1"/>
        <sz val="10.0"/>
      </rPr>
      <t xml:space="preserve">
LPDDR4 </t>
    </r>
    <r>
      <rPr>
        <rFont val="Arial"/>
        <b/>
        <color theme="1"/>
        <sz val="10.0"/>
      </rPr>
      <t>MR3:</t>
    </r>
    <r>
      <rPr>
        <rFont val="Arial"/>
        <color theme="1"/>
        <sz val="10.0"/>
      </rPr>
      <t xml:space="preserve"> Post Package Repair Protection</t>
    </r>
  </si>
  <si>
    <r>
      <rPr>
        <rFont val="Arial"/>
        <b/>
        <color theme="1"/>
        <sz val="10.0"/>
      </rPr>
      <t>EMR2</t>
    </r>
    <r>
      <rPr>
        <rFont val="Arial"/>
        <color theme="1"/>
        <sz val="10.0"/>
      </rPr>
      <t xml:space="preserve">
LPDDR4 </t>
    </r>
    <r>
      <rPr>
        <rFont val="Arial"/>
        <b/>
        <color theme="1"/>
        <sz val="10.0"/>
      </rPr>
      <t>MR3:</t>
    </r>
    <r>
      <rPr>
        <rFont val="Arial"/>
        <color theme="1"/>
        <sz val="10.0"/>
      </rPr>
      <t xml:space="preserve"> WR PST (WR Post-Amble Length)</t>
    </r>
  </si>
  <si>
    <r>
      <rPr>
        <rFont val="Arial"/>
        <b/>
        <color theme="1"/>
        <sz val="10.0"/>
      </rPr>
      <t>EMR2</t>
    </r>
    <r>
      <rPr>
        <rFont val="Arial"/>
        <color theme="1"/>
        <sz val="10.0"/>
      </rPr>
      <t xml:space="preserve">
LPDDR4 </t>
    </r>
    <r>
      <rPr>
        <rFont val="Arial"/>
        <b/>
        <color theme="1"/>
        <sz val="10.0"/>
      </rPr>
      <t>MR3:</t>
    </r>
    <r>
      <rPr>
        <rFont val="Arial"/>
        <color theme="1"/>
        <sz val="10.0"/>
      </rPr>
      <t xml:space="preserve"> PU-Cal (Pull-up Calibration Point)</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</si>
  <si>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FSP-OP (Frequency Set Point Operation Mode)</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</si>
  <si>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FSP-WR (Frequency Set Point Write Enable)</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</si>
  <si>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DMD (Data Mask Disable)</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</si>
  <si>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RRO Refresh rate option</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</si>
  <si>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VRCG (VREF Current Generator)</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</si>
  <si>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VRO (VREF Output)</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</si>
  <si>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RPT (Read Preamble Training Mode)</t>
    </r>
  </si>
  <si>
    <r>
      <rPr>
        <rFont val="Arial"/>
        <b/>
        <color theme="1"/>
        <sz val="10.0"/>
      </rPr>
      <t xml:space="preserve">EMR3
</t>
    </r>
    <r>
      <rPr>
        <rFont val="Arial"/>
        <b val="0"/>
        <color theme="1"/>
        <sz val="10.0"/>
      </rPr>
      <t xml:space="preserve">LPDDR4 </t>
    </r>
    <r>
      <rPr>
        <rFont val="Arial"/>
        <b/>
        <color theme="1"/>
        <sz val="10.0"/>
      </rPr>
      <t>MR13:</t>
    </r>
    <r>
      <rPr>
        <rFont val="Arial"/>
        <b val="0"/>
        <color theme="1"/>
        <sz val="10.0"/>
      </rPr>
      <t xml:space="preserve"> CBT (Command Bus Training)</t>
    </r>
  </si>
  <si>
    <t>DDRC_FREQ2_RANKCTL</t>
  </si>
  <si>
    <t>DDR Parameters</t>
  </si>
  <si>
    <t>MR1</t>
  </si>
  <si>
    <t>Do not update this value directly as this value is automatically updated from the value provided in register DDRC_INIT3 above.</t>
  </si>
  <si>
    <t>MR2</t>
  </si>
  <si>
    <t>MR3</t>
  </si>
  <si>
    <t>Do not update this value directly as this value is automatically updated from the value provided in register DDRC_INIT4 above.</t>
  </si>
  <si>
    <t>MR4</t>
  </si>
  <si>
    <t>0x00</t>
  </si>
  <si>
    <t>Configure this based on desired mode register setting (normally this should be 0).</t>
  </si>
  <si>
    <t>MR11</t>
  </si>
  <si>
    <t>Do not update this value directly as this value is automatically updated from the value provided in register DDRC_INIT6 above.</t>
  </si>
  <si>
    <t>MR12</t>
  </si>
  <si>
    <t>MR13</t>
  </si>
  <si>
    <t>MR14</t>
  </si>
  <si>
    <t>Do not update this value directly as this value is automatically updated from the value provided in register DDRC_INIT7 above.</t>
  </si>
  <si>
    <t>MR16</t>
  </si>
  <si>
    <t>MR17</t>
  </si>
  <si>
    <t>MR22</t>
  </si>
  <si>
    <t>MR24</t>
  </si>
  <si>
    <t>MR1-1</t>
  </si>
  <si>
    <t xml:space="preserve">FREQ1 setting. Do not update this value directly as this value is automatically updated from the value provided in register DDRC_INIT3 above. </t>
  </si>
  <si>
    <t>MR2-1</t>
  </si>
  <si>
    <t>FREQ1 setting. Do not update this value directly as this value is automatically updated from the value provided in register DDRC_INIT3 above.</t>
  </si>
  <si>
    <t>MR3-1</t>
  </si>
  <si>
    <t>MR4-1</t>
  </si>
  <si>
    <t>MR11-1</t>
  </si>
  <si>
    <t>MR12-1</t>
  </si>
  <si>
    <t>MR13-1</t>
  </si>
  <si>
    <t>MR14-1</t>
  </si>
  <si>
    <t>MR16-1</t>
  </si>
  <si>
    <t>MR17-1</t>
  </si>
  <si>
    <t>MR22-1</t>
  </si>
  <si>
    <t>MR24-1</t>
  </si>
  <si>
    <t>MR1-2</t>
  </si>
  <si>
    <t>FREQ2 setting. Do not update this value directly as this value is automatically updated from the value provided in register DDRC_INIT3 above.</t>
  </si>
  <si>
    <t>MR2-2</t>
  </si>
  <si>
    <t>MR3-2</t>
  </si>
  <si>
    <t>MR4-2</t>
  </si>
  <si>
    <t>MR11-2</t>
  </si>
  <si>
    <t>MR12-2</t>
  </si>
  <si>
    <t>MR13-2</t>
  </si>
  <si>
    <t>MR14-2</t>
  </si>
  <si>
    <t>MR16-2</t>
  </si>
  <si>
    <t>MR17-2</t>
  </si>
  <si>
    <t>MR22-2</t>
  </si>
  <si>
    <t>MR24-2</t>
  </si>
  <si>
    <t>ATxImpedance</t>
  </si>
  <si>
    <t>Write Driver Impedance for Address/Command (AC) bus in ohm (Valid values for all DramType = 120, 60, 40, 30, 24, 20)</t>
  </si>
  <si>
    <t>ODTImpedance</t>
  </si>
  <si>
    <t>Desired ODT impedance in Ohm (Valid values for DDR4 = 240, 120, 80, 60, 40, Valid values for DDR3L = high-impedance, 120, 60, 40, Valid values for LPDDR4 = 240, 120, 80, 60, 40)</t>
  </si>
  <si>
    <t xml:space="preserve">TxImpedance </t>
  </si>
  <si>
    <t>Write Driver Impedance for DQ/DQS in ohm (Valid values for all DramType = 240, 120, 80, 60, 48, 40, 34)</t>
  </si>
  <si>
    <t>lp4x_mode</t>
  </si>
  <si>
    <t xml:space="preserve">Not a supported feature of this SoC and it is required to set this to 0. </t>
  </si>
  <si>
    <t>read_dbi</t>
  </si>
  <si>
    <t>Enables (1) or disables (0) the read-DBI feature. Note, the user must ensure other registers have been updated to support read-DBI (DDRC_DBICTL and mode registers for the LPDDR4/DDR4 memory, along with updating read latency).</t>
  </si>
  <si>
    <t xml:space="preserve">extCalRes     </t>
  </si>
  <si>
    <t>External pull-down resistor value in Ohm (recommend to set to 0 for normal operation)</t>
  </si>
  <si>
    <t xml:space="preserve">WDQSExt     </t>
  </si>
  <si>
    <t>0x01</t>
  </si>
  <si>
    <t>Certain DRAM implementations are known to implement a clock divider circuit (clocked by DQS_T, DQS_C) to enable operating the internal receive data path at quarter bit-rate frequencies. As such, it requries that the Write DQS Extension be enabled. This is defaulted as enabled.</t>
  </si>
  <si>
    <t xml:space="preserve">SlewRiseDQ  </t>
  </si>
  <si>
    <t>0x0f</t>
  </si>
  <si>
    <t>Pull-up slew rate control for DBYTE Tx. Value specified here will be applied directly to TxSlewRate. For optimal operation, recommend to set to 0x0f.</t>
  </si>
  <si>
    <t xml:space="preserve">SlewFallDQ  </t>
  </si>
  <si>
    <t>Pull-down slew rate control for DBYTE Tx. Value specified here will be applied directly to TxSlewRate. For optimal operation, recommend to set to 0x0f.</t>
  </si>
  <si>
    <t xml:space="preserve">SlewFallAC  </t>
  </si>
  <si>
    <t>Pull-up slew rate control for ANIB Tx. Value specified here will be applied directly to ATxSlewRate. For optimal operation, recommend to set to 0x0f.</t>
  </si>
  <si>
    <t xml:space="preserve">SlewRiseAC  </t>
  </si>
  <si>
    <t>Pull-down slew rate control for ANIB Tx. Value specified here will be applied directly to ATxSlewRate. For optimal operation, recommend to set to 0x0f.</t>
  </si>
  <si>
    <t>CaliInterval</t>
  </si>
  <si>
    <t>0x09</t>
  </si>
  <si>
    <t>Specifies the interval between successive calibrations, in mS (0= continuous,1= 0.01, 2=0.10, 3=1, 4=2, 5=3, 6=4, 7=8, 8=10, 9=20, other reserved). Recommend to set this to 0x9.</t>
  </si>
  <si>
    <t xml:space="preserve">CaliOnce   </t>
  </si>
  <si>
    <t>This setting changes the behaviour of CSR CalRun (1: The 0-&gt;1 transition of CSR CalRun causes a single iteration of the calibration sequence to occur, 0: Calibration will proceed at the rate determined by CSR CaliInterval). Recommend to set this to 0.</t>
  </si>
  <si>
    <t>PhyVref</t>
  </si>
  <si>
    <t>0x14</t>
  </si>
  <si>
    <t>Initial value used for VREF. The value is updated following data training.</t>
  </si>
  <si>
    <t>csPresent</t>
  </si>
  <si>
    <t>Indicates presence of DRAM at each chip select for PHY. (e.g. 0x3 means CS0 and CS1 are used, 0x1 means only CS0 is used)</t>
  </si>
  <si>
    <t>data_width</t>
  </si>
  <si>
    <t>16bit or 32bit only</t>
  </si>
  <si>
    <t>Instructions:</t>
  </si>
  <si>
    <t>User input MX8M data bit connection to associated LPDDR4 data bit</t>
  </si>
  <si>
    <t>DDR Controller/PHY Module 0</t>
  </si>
  <si>
    <t>MX8M LPDDR4 Channel:</t>
  </si>
  <si>
    <t>Chan B</t>
  </si>
  <si>
    <t>Chan A</t>
  </si>
  <si>
    <t>DRAM data bus</t>
  </si>
  <si>
    <t>MX8Mdata bus (User Input)-&gt;</t>
  </si>
  <si>
    <t>MX8M byte lane</t>
  </si>
  <si>
    <t>MX8M data bus bits within byte lane</t>
  </si>
  <si>
    <t>DDR_PHY_Dq[7:0]LnSel_[3:0] registers programming</t>
  </si>
  <si>
    <t>Address</t>
  </si>
  <si>
    <t>Value</t>
  </si>
  <si>
    <t>In-line ECC configuration worksheet for binary-aligned densities: this is the preferred density type to ensure a continuous LPDDR4 memory map.</t>
  </si>
  <si>
    <t>This worksheet configures the granularity of each protectable region and which of these regions are protected.</t>
  </si>
  <si>
    <t>Enabling of ECC is performed in the Register Configuration tab.</t>
  </si>
  <si>
    <r>
      <rPr>
        <rFont val="Arial"/>
        <color theme="1"/>
        <sz val="10.0"/>
      </rPr>
      <t xml:space="preserve">1. For </t>
    </r>
    <r>
      <rPr>
        <rFont val="Arial"/>
        <color rgb="FF0070C0"/>
        <sz val="10.0"/>
      </rPr>
      <t>required user input</t>
    </r>
    <r>
      <rPr>
        <rFont val="Arial"/>
        <color theme="1"/>
        <sz val="10.0"/>
      </rPr>
      <t>, select desired settings in cells with color:</t>
    </r>
  </si>
  <si>
    <r>
      <rPr>
        <rFont val="Arial"/>
        <color theme="1"/>
        <sz val="10.0"/>
      </rPr>
      <t xml:space="preserve">2. </t>
    </r>
    <r>
      <rPr>
        <rFont val="Arial"/>
        <b/>
        <color theme="1"/>
        <sz val="10.0"/>
      </rPr>
      <t>Note</t>
    </r>
    <r>
      <rPr>
        <rFont val="Arial"/>
        <color theme="1"/>
        <sz val="10.0"/>
      </rPr>
      <t>: if ECC is enabled in Register Configuration then at least one ECC region must be PROTECTED else an error is incurred</t>
    </r>
  </si>
  <si>
    <t>3. Settings in the Register Configuration tab are automatically updated from this worksheet</t>
  </si>
  <si>
    <t>USER INPUT REQUIRED</t>
  </si>
  <si>
    <t>Select desired ECC granularity region size: 1/8 (div-by-8), 1/16 (div-by-16), 1/32 (div-by-32), or 1/64 (div-by-64)</t>
  </si>
  <si>
    <t>ECC Region (div-by-):</t>
  </si>
  <si>
    <t>ECC Parity Region Section</t>
  </si>
  <si>
    <t>Start Address of each ECC Parity Region Section</t>
  </si>
  <si>
    <t>Density of each ECC Parity Region Section</t>
  </si>
  <si>
    <t>ECC Parity Region Section memory attributes</t>
  </si>
  <si>
    <r>
      <rPr>
        <rFont val="Arial"/>
        <b/>
        <color theme="1"/>
        <sz val="9.0"/>
        <u/>
      </rPr>
      <t>ECC parity region space</t>
    </r>
    <r>
      <rPr>
        <rFont val="Arial"/>
        <b/>
        <color theme="1"/>
        <sz val="9.0"/>
      </rPr>
      <t xml:space="preserve"> 
Each memory section memory may be user accessible depending on the corresponding region's ECC protection scheme. Attempting to access an inaccessible section will result in a data abort.</t>
    </r>
  </si>
  <si>
    <t>Always user accessible</t>
  </si>
  <si>
    <t>ACCESSIBLE</t>
  </si>
  <si>
    <t>Configure each configurable Main Memory Region as ECC PROTECTED or UNPROTECTED</t>
  </si>
  <si>
    <t>Main Memory Region</t>
  </si>
  <si>
    <t>Start Address of each Main Memory Region</t>
  </si>
  <si>
    <t>Density of each Main Memory Region</t>
  </si>
  <si>
    <t>User Input
ECC Protection Configuration for each Main Memory Region</t>
  </si>
  <si>
    <r>
      <rPr>
        <rFont val="Arial"/>
        <b/>
        <color theme="1"/>
        <sz val="10.0"/>
        <u/>
      </rPr>
      <t>Main Memory Region Space</t>
    </r>
    <r>
      <rPr>
        <rFont val="Arial"/>
        <b/>
        <color theme="1"/>
        <sz val="10.0"/>
      </rPr>
      <t xml:space="preserve">
Each memory section may be configured as ECC protected or unprotected</t>
    </r>
  </si>
  <si>
    <t>PROTECTED</t>
  </si>
  <si>
    <t>Region6</t>
  </si>
  <si>
    <t>Region5</t>
  </si>
  <si>
    <t>Region4</t>
  </si>
  <si>
    <t>Region3</t>
  </si>
  <si>
    <t>Region2</t>
  </si>
  <si>
    <t>Region1</t>
  </si>
  <si>
    <t>Region0</t>
  </si>
  <si>
    <t xml:space="preserve">Total DRAM density: </t>
  </si>
  <si>
    <t>Note: 'other' region is the remaining Main Memory Region for ECC granularity settings of 1/16, 1/32, and 1/64 (protect/unprotect configuration is a don't care for 1/8 setting)</t>
  </si>
  <si>
    <t>ECC region details: Informational &amp; Register Configuration purposes only, no user configurable settings below</t>
  </si>
  <si>
    <t>In decimal format</t>
  </si>
  <si>
    <t>In "MB" format</t>
  </si>
  <si>
    <t>In 9-digit HEX format</t>
  </si>
  <si>
    <t>Total DRAM density calculated from Register Configuration
(Note to user, make sure you filled out the Device Information table correctly or else all subsequent settings will be incorrect):</t>
  </si>
  <si>
    <t>Density of ECC region (where ECC is stored, always 1/8 of total density at the top of the DDR memory map)</t>
  </si>
  <si>
    <t>Density for each "ECC protectable" Region based on ECC granularity setting (ECC_REGION_MAP_GRANU)</t>
  </si>
  <si>
    <t>Density of remaining "other" DRAM region when ECC granularity is 1/16, 1/32, or 1/64 (0 when 1/8)
Calculation:
Total DRAM density - ECC region (1/8 total density) - 7*(ECC Region size)</t>
  </si>
  <si>
    <t xml:space="preserve">Below is to assist in calculating address map values for each region </t>
  </si>
  <si>
    <t>Base address of DDR memory map:</t>
  </si>
  <si>
    <t>ECC Parity Region Calculation</t>
  </si>
  <si>
    <t>ECC Parity Region: "always accessible" section size</t>
  </si>
  <si>
    <t>ECC Parity Region: "other" section size</t>
  </si>
  <si>
    <t>ECC Parity Region: "each of the 7 protectable regions" section size</t>
  </si>
  <si>
    <t>ECC Parity Region:absolute address of "always accessbile" section</t>
  </si>
  <si>
    <t>ECC Parity Region:absolute address of "other" section</t>
  </si>
  <si>
    <t>ECC Parity Region:absolute address of "region 6" section</t>
  </si>
  <si>
    <t>ECC Parity Region:absolute address of "region 5" section</t>
  </si>
  <si>
    <t>ECC Parity Region:absolute address of "region 4" section</t>
  </si>
  <si>
    <t>ECC Parity Region:absolute address of "region 3" section</t>
  </si>
  <si>
    <t>ECC Parity Region:absolute address of "region 2" section</t>
  </si>
  <si>
    <t>ECC Parity Region:absolute address of "region 1" section</t>
  </si>
  <si>
    <t>ECC Parity Region:absolute address of "region 0" section</t>
  </si>
  <si>
    <t>ECC Register Configuration settings:</t>
  </si>
  <si>
    <t xml:space="preserve">ECC_REGION_MAP_GRANU setting: </t>
  </si>
  <si>
    <t xml:space="preserve">ECC_REGION_MAP_OTHER setting: </t>
  </si>
  <si>
    <t xml:space="preserve">ECC_REGION_MAP[6] setting: </t>
  </si>
  <si>
    <t xml:space="preserve">ECC_REGION_MAP[5] setting: </t>
  </si>
  <si>
    <t xml:space="preserve">ECC_REGION_MAP[4] setting: </t>
  </si>
  <si>
    <t xml:space="preserve">ECC_REGION_MAP[3] setting: </t>
  </si>
  <si>
    <t xml:space="preserve">ECC_REGION_MAP[2] setting: </t>
  </si>
  <si>
    <t xml:space="preserve">ECC_REGION_MAP[1] setting: </t>
  </si>
  <si>
    <t xml:space="preserve">ECC_REGION_MAP[0] setting: </t>
  </si>
  <si>
    <t xml:space="preserve">Sum of ECC Regions[6:0]: </t>
  </si>
  <si>
    <t xml:space="preserve">ECC_REGION_MAP setting: </t>
  </si>
  <si>
    <r>
      <rPr>
        <rFont val="Arial"/>
        <b/>
        <color theme="1"/>
        <sz val="10.0"/>
      </rPr>
      <t xml:space="preserve">In-line ECC configuration worksheet for </t>
    </r>
    <r>
      <rPr>
        <rFont val="Arial"/>
        <b/>
        <color theme="1"/>
        <sz val="10.0"/>
        <u/>
      </rPr>
      <t>non-binary-aligned</t>
    </r>
    <r>
      <rPr>
        <rFont val="Arial"/>
        <b/>
        <color theme="1"/>
        <sz val="10.0"/>
      </rPr>
      <t xml:space="preserve"> densities: the use of non-binary-aligned densities forces the LPDDR4 memory map to be broken up into three equally sized non-continuous regions, with each region containing the ECC parity section for that memory region.  To avoid such a situation, it is recommended to use a binary-aligned density. </t>
    </r>
  </si>
  <si>
    <r>
      <rPr>
        <rFont val="Arial"/>
        <color theme="1"/>
        <sz val="10.0"/>
      </rPr>
      <t xml:space="preserve">1. For </t>
    </r>
    <r>
      <rPr>
        <rFont val="Arial"/>
        <color rgb="FF0070C0"/>
        <sz val="10.0"/>
      </rPr>
      <t>required user input</t>
    </r>
    <r>
      <rPr>
        <rFont val="Arial"/>
        <color theme="1"/>
        <sz val="10.0"/>
      </rPr>
      <t>, select desired settings in cells with color:</t>
    </r>
  </si>
  <si>
    <r>
      <rPr>
        <rFont val="Arial"/>
        <color theme="1"/>
        <sz val="10.0"/>
      </rPr>
      <t xml:space="preserve">2. </t>
    </r>
    <r>
      <rPr>
        <rFont val="Arial"/>
        <b/>
        <color theme="1"/>
        <sz val="10.0"/>
      </rPr>
      <t>Note</t>
    </r>
    <r>
      <rPr>
        <rFont val="Arial"/>
        <color theme="1"/>
        <sz val="10.0"/>
      </rPr>
      <t>: if ECC is enabled in Register Configuration then at least one ECC region must be PROTECTED else an error is incurred</t>
    </r>
  </si>
  <si>
    <t>Due to the non-binary-aligned density, the LPDDR4 memory map is broken up into three equal ECC memory regions, where each region is a mirror of one another</t>
  </si>
  <si>
    <t>ECC Parity Region Section Main Memory Region 2</t>
  </si>
  <si>
    <r>
      <rPr>
        <rFont val="Arial"/>
        <b/>
        <color theme="1"/>
        <sz val="9.0"/>
        <u/>
      </rPr>
      <t>ECC parity region space</t>
    </r>
    <r>
      <rPr>
        <rFont val="Arial"/>
        <b/>
        <color theme="1"/>
        <sz val="9.0"/>
      </rPr>
      <t xml:space="preserve"> 
Each memory section memory may be user accessible depending on the corresponding region's ECC protection scheme. Attempting to access an inaccessible section will result in a data abort.</t>
    </r>
  </si>
  <si>
    <r>
      <rPr>
        <rFont val="Arial"/>
        <b/>
        <color theme="1"/>
        <sz val="14.0"/>
        <u/>
      </rPr>
      <t>ECC Memory Region 2</t>
    </r>
    <r>
      <rPr>
        <rFont val="Arial"/>
        <b/>
        <color theme="1"/>
        <sz val="14.0"/>
      </rPr>
      <t xml:space="preserve">
</t>
    </r>
    <r>
      <rPr>
        <rFont val="Arial"/>
        <b/>
        <color rgb="FF0070C0"/>
        <sz val="14.0"/>
      </rPr>
      <t>Configuration for this region is based on ECC Memory Region 0</t>
    </r>
    <r>
      <rPr>
        <rFont val="Arial"/>
        <b/>
        <color theme="1"/>
        <sz val="14.0"/>
      </rPr>
      <t xml:space="preserve"> </t>
    </r>
    <r>
      <rPr>
        <rFont val="Arial"/>
        <b/>
        <color rgb="FF0070C0"/>
        <sz val="14.0"/>
      </rPr>
      <t>below</t>
    </r>
  </si>
  <si>
    <t>[Main Memory Region 2] Configuration for each region is configured via Main Memory Region 0</t>
  </si>
  <si>
    <t>Main Memory Region 2</t>
  </si>
  <si>
    <t>ECC Protection Configuration based on  Main Memory Region 0 settings</t>
  </si>
  <si>
    <r>
      <rPr>
        <rFont val="Arial"/>
        <b/>
        <color theme="1"/>
        <sz val="10.0"/>
        <u/>
      </rPr>
      <t>Main Memory Region Space</t>
    </r>
    <r>
      <rPr>
        <rFont val="Arial"/>
        <b/>
        <color theme="1"/>
        <sz val="10.0"/>
      </rPr>
      <t xml:space="preserve">
Each memory section may be configured as ECC protected or unprotected</t>
    </r>
  </si>
  <si>
    <t>ECC Parity Region Section for Main Memory Region 1</t>
  </si>
  <si>
    <r>
      <rPr>
        <rFont val="Arial"/>
        <b/>
        <color theme="1"/>
        <sz val="9.0"/>
        <u/>
      </rPr>
      <t>ECC parity region space</t>
    </r>
    <r>
      <rPr>
        <rFont val="Arial"/>
        <b/>
        <color theme="1"/>
        <sz val="9.0"/>
      </rPr>
      <t xml:space="preserve"> 
Each memory section memory may be user accessible depending on the corresponding region's ECC protection scheme. Attempting to access an inaccessible section will result in a data abort.</t>
    </r>
  </si>
  <si>
    <r>
      <rPr>
        <rFont val="Arial"/>
        <b/>
        <color theme="1"/>
        <sz val="14.0"/>
        <u/>
      </rPr>
      <t>ECC Memory Region 1</t>
    </r>
    <r>
      <rPr>
        <rFont val="Arial"/>
        <b/>
        <color theme="1"/>
        <sz val="14.0"/>
      </rPr>
      <t xml:space="preserve">
</t>
    </r>
    <r>
      <rPr>
        <rFont val="Arial"/>
        <b/>
        <color rgb="FF0070C0"/>
        <sz val="14.0"/>
      </rPr>
      <t>Configuration for this region is based on ECC Memory Region 0 below</t>
    </r>
  </si>
  <si>
    <t>[Main Memory Region 1] Configuration for each region is configured via Main Memory Region 0 below</t>
  </si>
  <si>
    <t>Main Memory Region 1</t>
  </si>
  <si>
    <r>
      <rPr>
        <rFont val="Arial"/>
        <b/>
        <color theme="1"/>
        <sz val="10.0"/>
        <u/>
      </rPr>
      <t>Main Memory Region Space</t>
    </r>
    <r>
      <rPr>
        <rFont val="Arial"/>
        <b/>
        <color theme="1"/>
        <sz val="10.0"/>
      </rPr>
      <t xml:space="preserve">
Each memory section may be configured as ECC protected or unprotected</t>
    </r>
  </si>
  <si>
    <t>ECC Parity Region Section for Main Memory Region 0</t>
  </si>
  <si>
    <r>
      <rPr>
        <rFont val="Arial"/>
        <b/>
        <color theme="1"/>
        <sz val="9.0"/>
        <u/>
      </rPr>
      <t>ECC parity region space</t>
    </r>
    <r>
      <rPr>
        <rFont val="Arial"/>
        <b/>
        <color theme="1"/>
        <sz val="9.0"/>
      </rPr>
      <t xml:space="preserve"> 
Each memory section memory may be user accessible depending on the corresponding region's ECC protection scheme. Attempting to access an inaccessible section will result in a data abort.</t>
    </r>
  </si>
  <si>
    <r>
      <rPr>
        <rFont val="Arial"/>
        <b/>
        <color theme="1"/>
        <sz val="14.0"/>
        <u/>
      </rPr>
      <t>ECC Memory Region 0</t>
    </r>
    <r>
      <rPr>
        <rFont val="Arial"/>
        <b/>
        <color theme="1"/>
        <sz val="14.0"/>
      </rPr>
      <t xml:space="preserve">
</t>
    </r>
    <r>
      <rPr>
        <rFont val="Arial"/>
        <b/>
        <color rgb="FF00B050"/>
        <sz val="14.0"/>
      </rPr>
      <t>This region is user configurable and is used to configure the other two regions above</t>
    </r>
  </si>
  <si>
    <t>[Main Memory Region 0] Configure each configurable Main Memory Region as ECC PROTECTED or UNPROTECTED</t>
  </si>
  <si>
    <t xml:space="preserve"> Main Memory Region 0</t>
  </si>
  <si>
    <r>
      <rPr>
        <rFont val="Arial"/>
        <b/>
        <color theme="1"/>
        <sz val="10.0"/>
        <u/>
      </rPr>
      <t>Main Memory Region Space</t>
    </r>
    <r>
      <rPr>
        <rFont val="Arial"/>
        <b/>
        <color theme="1"/>
        <sz val="10.0"/>
      </rPr>
      <t xml:space="preserve">
Each memory section may be configured as ECC protected or unprotected</t>
    </r>
  </si>
  <si>
    <t>UNPROTECTED</t>
  </si>
  <si>
    <t>Density of each of the three ECC memory regions 0, 1, and 2</t>
  </si>
  <si>
    <t>Density of each ECC region (where ECC is stored, always 1/8 of total density at the top of the DDR memory map for each ECC memory region 0, 1, and 2)</t>
  </si>
  <si>
    <t>Density for each "ECC protectable" Region (within each ECC memory region 0, 1, and 2) based on ECC granularity setting (ECC_REGION_MAP_GRANU)</t>
  </si>
  <si>
    <t>Density of each ECC memory region remaining "other" DRAM region when ECC granularity is 1/16, 1/32, or 1/64 (0 when 1/8)
Calculation:
Total DRAM density - ECC region (1/8 total density) - 7*(ECC Region size) / 3</t>
  </si>
  <si>
    <t>Base address of DDR memory map region 0:</t>
  </si>
  <si>
    <t>Base address of DDR memory map region 1:</t>
  </si>
  <si>
    <t>Base address of DDR memory map region 2:</t>
  </si>
  <si>
    <t>ECC memory region 0</t>
  </si>
  <si>
    <t>ECC memory region 1</t>
  </si>
  <si>
    <t>ECC memory region 2</t>
  </si>
  <si>
    <t>#</t>
  </si>
  <si>
    <t># DCD command:</t>
  </si>
  <si>
    <t># CMD_WRITE_DATA: memory set ADDR BITWIDTH VALUE                 : *ADDR = VALUE</t>
  </si>
  <si>
    <t># CMD_SET_BIT:    memory setbit ADDR BITWIDTH VALUE              : *ADDR = *ADDR | VALUE</t>
  </si>
  <si>
    <t># CMD_CLR_BIT:    memory clrbit ADDR BITWIDTH VALUE              : *ADDR = *ADDR &amp;~ VALUE</t>
  </si>
  <si>
    <t># CMD_CHECK_BIT_SET:  memory chkbit1 ADDR BITWIDTH VALUE         : while((*ADDR &amp; VALUE) != VALUE){}</t>
  </si>
  <si>
    <t># CMD_CHECK_BIT_CLR:  memory chkbit0 ADDR BITWIDTH VALUE         : while((*ADDR &amp; VALUE) != 0){}</t>
  </si>
  <si>
    <t>###########################################################################################################</t>
  </si>
  <si>
    <t>sysparam set</t>
  </si>
  <si>
    <t>fw_version</t>
  </si>
  <si>
    <t>#Firmware Selection: '0' for FW201709, '1' for FW201810, '2' for FW201904,'3' for FW202006</t>
  </si>
  <si>
    <t>################step 0: configure debug uart port. Assumes use of UART IO Pads.   #####</t>
  </si>
  <si>
    <t>##### If using non-UART pads (i.e. using other pads to mux out the UART signals), #####</t>
  </si>
  <si>
    <t>##### then it is up to the user to overwrite the following IO register settings   #####</t>
  </si>
  <si>
    <t>memory set</t>
  </si>
  <si>
    <t xml:space="preserve">0x00000000 </t>
  </si>
  <si>
    <t>0x00000000</t>
  </si>
  <si>
    <t>0x00000016</t>
  </si>
  <si>
    <t xml:space="preserve">sysparam set </t>
  </si>
  <si>
    <t xml:space="preserve">debug_uart </t>
  </si>
  <si>
    <t>#UART index from 0 ('0' = UART1, '1' = UART2, '2' = UART3, '3' = UART4)</t>
  </si>
  <si>
    <t>################step 1: DDR clock configuration################</t>
  </si>
  <si>
    <t>0x30391000</t>
  </si>
  <si>
    <t>0x8F00003F</t>
  </si>
  <si>
    <t>#SRC_DDRC_RCR_ADDR: assert [0]ddr1_preset_n, [1]ddr1_core_reset_n, [2]ddr1_phy_reset, [3]ddr1_phy_pwrokin_n, [4]src_system_rst_b!</t>
  </si>
  <si>
    <t>0x8F00000F</t>
  </si>
  <si>
    <t>#SRC_DDRC_RCR_ADDR: deassert [4]src_system_rst_b!</t>
  </si>
  <si>
    <t>0x3038A088</t>
  </si>
  <si>
    <t>0x07070000</t>
  </si>
  <si>
    <t>#DRAM_APB_CLK_ROOT_CLR</t>
  </si>
  <si>
    <t>0x3038A084</t>
  </si>
  <si>
    <t>0x04030000</t>
  </si>
  <si>
    <t>#DRAM_APB_CLK_ROOT_SET, dram_apb_clk_root set to source 4 --800MHz/4</t>
  </si>
  <si>
    <t>#disable the clock gating</t>
  </si>
  <si>
    <t>0x303A00EC</t>
  </si>
  <si>
    <t>0x0000FFFF</t>
  </si>
  <si>
    <t>#PGC_CPU_MAPPING</t>
  </si>
  <si>
    <t>memory setbit</t>
  </si>
  <si>
    <t>0x303A00F8</t>
  </si>
  <si>
    <t>0x20</t>
  </si>
  <si>
    <t>#GPC_PU_PGC_SW_PUP_REQ: DDR1_SW_PUP_REQ=1</t>
  </si>
  <si>
    <t>0x30391004</t>
  </si>
  <si>
    <t>0x8F000000</t>
  </si>
  <si>
    <t>#SRC_DDRC_RCR_ADDR</t>
  </si>
  <si>
    <t>#DRAM_PLL_CONFIG</t>
  </si>
  <si>
    <t># The RPA provides the DRAM_PLL_FDIV_CTL0 register (0x30360054) setting for 2000Mhz (0xFA031).</t>
  </si>
  <si>
    <t># For frequencies other than 1500Mhz, it is up to the user to create the appropriate register setting for the desired frequency.</t>
  </si>
  <si>
    <t># Formula is DDR_freq = [(24MHz x pll_main_div)/(pll_pre_div x 2^pll_post_div)] x 2</t>
  </si>
  <si>
    <t>0x30360054</t>
  </si>
  <si>
    <t>#DRAM_PLL_FDIV_CTL0: For 2000MHz, pll_main_div = 250, pll_pre_div = 3, pll_post_div = 1</t>
  </si>
  <si>
    <t>0x30360058</t>
  </si>
  <si>
    <t>#DRAM_PLL_FDIV_CTL1: pll_dsm=0</t>
  </si>
  <si>
    <t xml:space="preserve">memory setbit </t>
  </si>
  <si>
    <t>0x30360050</t>
  </si>
  <si>
    <t xml:space="preserve">0x200 </t>
  </si>
  <si>
    <t>#DRAM_PLL_GNRL_CTL: pll_rst = 1</t>
  </si>
  <si>
    <t>memory clrbit</t>
  </si>
  <si>
    <t>0x10</t>
  </si>
  <si>
    <t>#DRAM_PLL_GNRL_CTL: pll_bypass = 0</t>
  </si>
  <si>
    <t>memory chkbit1</t>
  </si>
  <si>
    <t>0x80000000</t>
  </si>
  <si>
    <t>#DRAM_PLL_GNRL_CTL: check pll_lock=1?</t>
  </si>
  <si>
    <t>0x8F000006</t>
  </si>
  <si>
    <t>################step2: DDRC configuration ################</t>
  </si>
  <si>
    <t xml:space="preserve">memory set </t>
  </si>
  <si>
    <t>0x3d400304</t>
  </si>
  <si>
    <t>0x00000001</t>
  </si>
  <si>
    <t>#DDRC_DBG1: dis_dq=1, indicates no reads or writes are issued to SDRAM</t>
  </si>
  <si>
    <t>0x3d400030</t>
  </si>
  <si>
    <t>#DDRC_PWRCTL: selfref_en=1, SDRAM enter self-refresh state</t>
  </si>
  <si>
    <t xml:space="preserve">#DDRC_MSTR   </t>
  </si>
  <si>
    <t>#DDRC_DERATEEN</t>
  </si>
  <si>
    <t>#DDRC_DERATEINT</t>
  </si>
  <si>
    <t>#DDRC_RFSHTMG</t>
  </si>
  <si>
    <t>#DDRC_ECCCFG0</t>
  </si>
  <si>
    <t>#DDRC_ECCCFG1</t>
  </si>
  <si>
    <t xml:space="preserve">#DDRC_INIT0  </t>
  </si>
  <si>
    <t xml:space="preserve">#DDRC_INIT1  </t>
  </si>
  <si>
    <t xml:space="preserve">#DDRC_INIT3  </t>
  </si>
  <si>
    <t xml:space="preserve">#DDRC_INIT4  </t>
  </si>
  <si>
    <t xml:space="preserve">#DDRC_INIT6  </t>
  </si>
  <si>
    <t xml:space="preserve">#DDRC_INIT7  </t>
  </si>
  <si>
    <t xml:space="preserve">#DDRC_DRAMTMG0 </t>
  </si>
  <si>
    <t xml:space="preserve">#DDRC_DRAMTMG1 </t>
  </si>
  <si>
    <t xml:space="preserve">#DDRC_DRAMTMG3 </t>
  </si>
  <si>
    <t xml:space="preserve">#DDRC_DRAMTMG4 </t>
  </si>
  <si>
    <t xml:space="preserve">#DDRC_DRAMTMG5 </t>
  </si>
  <si>
    <t xml:space="preserve">#DDRC_DRAMTMG6 </t>
  </si>
  <si>
    <t xml:space="preserve">#DDRC_DRAMTMG7 </t>
  </si>
  <si>
    <t>#DDRC_DRAMTMG12</t>
  </si>
  <si>
    <t>#DDRC_DRAMTMG13</t>
  </si>
  <si>
    <t>#DDRC_DRAMTMG14</t>
  </si>
  <si>
    <t>#DDRC_DRAMTMG17</t>
  </si>
  <si>
    <t xml:space="preserve">#DDRC_ZQCTL0   </t>
  </si>
  <si>
    <t xml:space="preserve">#DDRC_ZQCTL1   </t>
  </si>
  <si>
    <t>0x3D400188</t>
  </si>
  <si>
    <t>#DDRC_ZQCTL2</t>
  </si>
  <si>
    <t xml:space="preserve">#DDRC_DFITMG0  </t>
  </si>
  <si>
    <t xml:space="preserve">#DDRC_DFITMG1  </t>
  </si>
  <si>
    <t xml:space="preserve">#DDRC_DFITMG2  </t>
  </si>
  <si>
    <t xml:space="preserve">#DDRC_DFIUPD0  </t>
  </si>
  <si>
    <t xml:space="preserve">#DDRC_DFIUPD1  </t>
  </si>
  <si>
    <t xml:space="preserve">#DDRC_DFIUPD2  </t>
  </si>
  <si>
    <t xml:space="preserve">#DDRC_DFIMISC  </t>
  </si>
  <si>
    <t xml:space="preserve">#DDRC_DBICTL   </t>
  </si>
  <si>
    <t>#DDRC_DFI_PHYMSTR</t>
  </si>
  <si>
    <t>## the following may be refined by ddrphy training firmware</t>
  </si>
  <si>
    <t xml:space="preserve">#DDRC_RANKCTL </t>
  </si>
  <si>
    <t xml:space="preserve">#DDRC_DRAMTMG2 </t>
  </si>
  <si>
    <t xml:space="preserve">#DDRC_ADDRMAP0 </t>
  </si>
  <si>
    <t xml:space="preserve">#DDRC_ADDRMAP3 </t>
  </si>
  <si>
    <t xml:space="preserve">#DDRC_ADDRMAP4 </t>
  </si>
  <si>
    <t xml:space="preserve">#DDRC_ADDRMAP1 </t>
  </si>
  <si>
    <t xml:space="preserve">#DDRC_ADDRMAP5 </t>
  </si>
  <si>
    <t xml:space="preserve">#DDRC_ADDRMAP6 </t>
  </si>
  <si>
    <t>#DDRC_ADDRMAP7</t>
  </si>
  <si>
    <t>#DDRC_SCHED</t>
  </si>
  <si>
    <t>#DDRC_SCHED1</t>
  </si>
  <si>
    <t>#DDRC_PERFHPR1</t>
  </si>
  <si>
    <t>#DDRC_PERFLPR1</t>
  </si>
  <si>
    <t>#DDRC_PERFWR1</t>
  </si>
  <si>
    <t xml:space="preserve">#DDRC_PCCFG </t>
  </si>
  <si>
    <t xml:space="preserve">#DDRC_PCFGR_0 </t>
  </si>
  <si>
    <t xml:space="preserve">#DDRC_PCFGW_0 </t>
  </si>
  <si>
    <t xml:space="preserve">#DDRC_PCFGQOS0_0 </t>
  </si>
  <si>
    <t xml:space="preserve">#DDRC_PCFGQOS1_0 </t>
  </si>
  <si>
    <t>#DDRC_PCFGWQOS0_0</t>
  </si>
  <si>
    <t>#DDRC_PCFGWQOS1_0</t>
  </si>
  <si>
    <t>#DDRC_FREQ1_DERATEEN</t>
  </si>
  <si>
    <t>#DDRC_FREQ1_DERATEINT</t>
  </si>
  <si>
    <t>#DDRC_FREQ1_RFSHCTL0</t>
  </si>
  <si>
    <t>#DDRC_FREQ1_RFSHTMG</t>
  </si>
  <si>
    <t>#DDRC_FREQ1_INIT3</t>
  </si>
  <si>
    <t>#DDRC_FREQ1_INIT4</t>
  </si>
  <si>
    <t>#DDRC_FREQ1_INIT6</t>
  </si>
  <si>
    <t>#DDRC_FREQ1_INIT7</t>
  </si>
  <si>
    <t>#DDRC_FREQ1_DRAMTMG0</t>
  </si>
  <si>
    <t>#DDRC_FREQ1_DRAMTMG1</t>
  </si>
  <si>
    <t>#DDRC_FREQ1_DRAMTMG2</t>
  </si>
  <si>
    <t>#DDRC_FREQ1_DRAMTMG3</t>
  </si>
  <si>
    <t>#DDRC_FREQ1_DRAMTMG4</t>
  </si>
  <si>
    <t>#DDRC_FREQ1_DRAMTMG5</t>
  </si>
  <si>
    <t>#DDRC_FREQ1_DRAMTMG6</t>
  </si>
  <si>
    <t>#DDRC_FREQ1_DRAMTMG7</t>
  </si>
  <si>
    <t>#DDRC_FREQ1_DRAMTMG12</t>
  </si>
  <si>
    <t>#DDRC_FREQ1_DRAMTMG13</t>
  </si>
  <si>
    <t>#DDRC_FREQ1_DRAMTMG14</t>
  </si>
  <si>
    <t>#DDRC_FREQ1_DRAMTMG17</t>
  </si>
  <si>
    <t>#DDRC_FREQ1_ZQCTL0</t>
  </si>
  <si>
    <t>#DDRC_FREQ1_DFITMG0</t>
  </si>
  <si>
    <t>#DDRC_FREQ1_DFITMG1</t>
  </si>
  <si>
    <t>#DDRC_FREQ1_DFITMG2</t>
  </si>
  <si>
    <t xml:space="preserve">#DDRC_FREQ1_RANKCTL </t>
  </si>
  <si>
    <t># DDR-50MHz clock configuration</t>
  </si>
  <si>
    <t>#DDRC_FREQ2_DERATEEN</t>
  </si>
  <si>
    <t>#DDRC_FREQ2_DERATEINT</t>
  </si>
  <si>
    <t xml:space="preserve">#DDRC_FREQ2_RFSHCTL0 </t>
  </si>
  <si>
    <t xml:space="preserve">#DDRC_FREQ2_RFSHTMG  </t>
  </si>
  <si>
    <t xml:space="preserve">#DDRC_FREQ2_INIT3    </t>
  </si>
  <si>
    <t xml:space="preserve">#DDRC_FREQ2_INIT4    </t>
  </si>
  <si>
    <t xml:space="preserve">#DDRC_FREQ2_INIT6    </t>
  </si>
  <si>
    <t xml:space="preserve">#DDRC_FREQ2_INIT7    </t>
  </si>
  <si>
    <t xml:space="preserve">#DDRC_FREQ2_DRAMTMG0 </t>
  </si>
  <si>
    <t xml:space="preserve">#DDRC_FREQ2_DRAMTMG1 </t>
  </si>
  <si>
    <t xml:space="preserve">#DDRC_FREQ2_DRAMTMG2 </t>
  </si>
  <si>
    <t xml:space="preserve">#DDRC_FREQ2_DRAMTMG3 </t>
  </si>
  <si>
    <t xml:space="preserve">#DDRC_FREQ2_DRAMTMG4 </t>
  </si>
  <si>
    <t xml:space="preserve">#DDRC_FREQ2_DRAMTMG5 </t>
  </si>
  <si>
    <t xml:space="preserve">#DDRC_FREQ2_DRAMTMG6 </t>
  </si>
  <si>
    <t xml:space="preserve">#DDRC_FREQ2_DRAMTMG7 </t>
  </si>
  <si>
    <t>#DDRC_FREQ2_DRAMTMG12</t>
  </si>
  <si>
    <t>#DDRC_FREQ2_DRAMTMG13</t>
  </si>
  <si>
    <t>#DDRC_FREQ2_DRAMTMG14</t>
  </si>
  <si>
    <t>#DDRC_FREQ2_DRAMTMG17</t>
  </si>
  <si>
    <t>#DDRC_FREQ2_ZQCTL0</t>
  </si>
  <si>
    <t xml:space="preserve">#DDRC_FREQ2_DFITMG0  </t>
  </si>
  <si>
    <t>#DDRC_FREQ2_DFITMG1</t>
  </si>
  <si>
    <t xml:space="preserve">#DDRC_FREQ2_DFITMG2  </t>
  </si>
  <si>
    <t xml:space="preserve">#DDRC_FREQ2_RANKCTL </t>
  </si>
  <si>
    <t>#DDRC_MSTR2</t>
  </si>
  <si>
    <t>#RESET DDRC</t>
  </si>
  <si>
    <t>0x8F000004</t>
  </si>
  <si>
    <t>0x3D400304</t>
  </si>
  <si>
    <t>#DDRC_DBG1</t>
  </si>
  <si>
    <t>#DDRC_PWRCTL</t>
  </si>
  <si>
    <t>0x3D400320</t>
  </si>
  <si>
    <t>#DDRC_SWCTL</t>
  </si>
  <si>
    <t>0x3D000000</t>
  </si>
  <si>
    <t>#DDRC_DDR_SS_GPR0: LPDDR4 mode</t>
  </si>
  <si>
    <t>0x3D4001B0</t>
  </si>
  <si>
    <t>0x00000010</t>
  </si>
  <si>
    <t>#DDRC_DDR_DFIMISC:12:8]dfi_freq, [5]dfi_init_start, [4]ctl_idle_en</t>
  </si>
  <si>
    <t># DDR PHY DQ lane to memory mapping</t>
  </si>
  <si>
    <t>0x3C040280</t>
  </si>
  <si>
    <t>#DDR_PHY_Dq0LnSel_0</t>
  </si>
  <si>
    <t>0x3C040284</t>
  </si>
  <si>
    <t>#DDR_PHY_Dq1LnSel_0</t>
  </si>
  <si>
    <t>0x3C040288</t>
  </si>
  <si>
    <t>#DDR_PHY_Dq2LnSel_0</t>
  </si>
  <si>
    <t>0x3C04028C</t>
  </si>
  <si>
    <t>#DDR_PHY_Dq3LnSel_0</t>
  </si>
  <si>
    <t>0x3C040290</t>
  </si>
  <si>
    <t>#DDR_PHY_Dq4LnSel_0</t>
  </si>
  <si>
    <t>0x3C040294</t>
  </si>
  <si>
    <t>#DDR_PHY_Dq5LnSel_0</t>
  </si>
  <si>
    <t>0x3C040298</t>
  </si>
  <si>
    <t>#DDR_PHY_Dq6LnSel_0</t>
  </si>
  <si>
    <t>0x3C04029C</t>
  </si>
  <si>
    <t>#DDR_PHY_Dq7LnSel_0</t>
  </si>
  <si>
    <t>0x3C044280</t>
  </si>
  <si>
    <t>#DDR_PHY_Dq0LnSel_1</t>
  </si>
  <si>
    <t>0x3C044284</t>
  </si>
  <si>
    <t>#DDR_PHY_Dq1LnSel_1</t>
  </si>
  <si>
    <t>0x3C044288</t>
  </si>
  <si>
    <t>#DDR_PHY_Dq2LnSel_1</t>
  </si>
  <si>
    <t>0x3C04428C</t>
  </si>
  <si>
    <t>#DDR_PHY_Dq3LnSel_1</t>
  </si>
  <si>
    <t>0x3C044290</t>
  </si>
  <si>
    <t>#DDR_PHY_Dq4LnSel_1</t>
  </si>
  <si>
    <t>0x3C044294</t>
  </si>
  <si>
    <t>#DDR_PHY_Dq5LnSel_1</t>
  </si>
  <si>
    <t>0x3C044298</t>
  </si>
  <si>
    <t>#DDR_PHY_Dq6LnSel_1</t>
  </si>
  <si>
    <t>0x3C04429C</t>
  </si>
  <si>
    <t>#DDR_PHY_Dq7LnSel_1</t>
  </si>
  <si>
    <t>0x3C048280</t>
  </si>
  <si>
    <t>#DDR_PHY_Dq0LnSel_2</t>
  </si>
  <si>
    <t>0x3C048284</t>
  </si>
  <si>
    <t>#DDR_PHY_Dq1LnSel_2</t>
  </si>
  <si>
    <t>0x3C048288</t>
  </si>
  <si>
    <t>#DDR_PHY_Dq2LnSel_2</t>
  </si>
  <si>
    <t>0x3C04828C</t>
  </si>
  <si>
    <t>#DDR_PHY_Dq3LnSel_2</t>
  </si>
  <si>
    <t>0x3C048290</t>
  </si>
  <si>
    <t>#DDR_PHY_Dq4LnSel_2</t>
  </si>
  <si>
    <t>0x3C048294</t>
  </si>
  <si>
    <t>#DDR_PHY_Dq5LnSel_2</t>
  </si>
  <si>
    <t>0x3C048298</t>
  </si>
  <si>
    <t>#DDR_PHY_Dq6LnSel_2</t>
  </si>
  <si>
    <t>0x3C04829C</t>
  </si>
  <si>
    <t>#DDR_PHY_Dq7LnSel_2</t>
  </si>
  <si>
    <t>0x3C04C280</t>
  </si>
  <si>
    <t>#DDR_PHY_Dq0LnSel_3</t>
  </si>
  <si>
    <t>0x3C04C284</t>
  </si>
  <si>
    <t>#DDR_PHY_Dq1LnSel_3</t>
  </si>
  <si>
    <t>0x3C04C288</t>
  </si>
  <si>
    <t>#DDR_PHY_Dq2LnSel_3</t>
  </si>
  <si>
    <t>0x3C04C28C</t>
  </si>
  <si>
    <t>#DDR_PHY_Dq3LnSel_3</t>
  </si>
  <si>
    <t>0x3C04C290</t>
  </si>
  <si>
    <t>#DDR_PHY_Dq4LnSel_3</t>
  </si>
  <si>
    <t>0x3C04C294</t>
  </si>
  <si>
    <t>#DDR_PHY_Dq5LnSel_3</t>
  </si>
  <si>
    <t>0x3C04C298</t>
  </si>
  <si>
    <t>#DDR_PHY_Dq6LnSel_3</t>
  </si>
  <si>
    <t>0x3C04C29C</t>
  </si>
  <si>
    <t>#DDR_PHY_Dq7LnSel_3</t>
  </si>
  <si>
    <t>#########################</t>
  </si>
  <si>
    <t># DDR parameter settings</t>
  </si>
  <si>
    <t>ddrparam set</t>
  </si>
  <si>
    <t>dram_type</t>
  </si>
  <si>
    <t>#DDR4=0,DDR3=1,LPDDR4=2,LPDDR3=3,DDR5=4</t>
  </si>
  <si>
    <t>#16bit or 32bit only</t>
  </si>
  <si>
    <t>num_pstat</t>
  </si>
  <si>
    <t># number of frequency setpoints for Hardware Fast Frequency Change</t>
  </si>
  <si>
    <t>train_2d</t>
  </si>
  <si>
    <t>#0=1D training only, 1=1D&amp;2D training</t>
  </si>
  <si>
    <t># Initial VREF value</t>
  </si>
  <si>
    <t>#### DDR frequency point0 #####</t>
  </si>
  <si>
    <t>frequency0</t>
  </si>
  <si>
    <t>#Freq0 setpoint frequency</t>
  </si>
  <si>
    <t>pllbypass0</t>
  </si>
  <si>
    <t xml:space="preserve">freq0 set   </t>
  </si>
  <si>
    <t>#CCM_TARGET_ROOT_CLR(DRAM_APB_CLK_ROOT)</t>
  </si>
  <si>
    <t>#CCM_TARGET_ROOT_SET(DRAM_APB_CLK_ROOT):MUX=4(system_pll1_800M_clk), PRE_PODF=3 //DRAM_APB_CLK=800/4=200MHz</t>
  </si>
  <si>
    <t>#PGC_CPU_MAPPING,disable the clock gating</t>
  </si>
  <si>
    <t>freq0 setbit</t>
  </si>
  <si>
    <t xml:space="preserve">0x20      </t>
  </si>
  <si>
    <t xml:space="preserve">freq0 set    </t>
  </si>
  <si>
    <t xml:space="preserve">freq0 setbit </t>
  </si>
  <si>
    <t xml:space="preserve">0x30360050 </t>
  </si>
  <si>
    <t xml:space="preserve">freq0 clrbit </t>
  </si>
  <si>
    <t>freq0 chkbit1</t>
  </si>
  <si>
    <t xml:space="preserve">freq0 set </t>
  </si>
  <si>
    <t>0x30389808</t>
  </si>
  <si>
    <t>0x01000000</t>
  </si>
  <si>
    <t>#CCM_TARGET_ROOT_CLR(DRAM_SEL): clear DRAM PLL bypass bit24</t>
  </si>
  <si>
    <t>#### DDR frequency point1 #####</t>
  </si>
  <si>
    <t>#Following frequency setpoint 1 settings are commented/uncommented based on frequency select and if number of setpoints &gt; 1</t>
  </si>
  <si>
    <t>frequency1</t>
  </si>
  <si>
    <t>pllbypass1</t>
  </si>
  <si>
    <t>0x3038A008</t>
  </si>
  <si>
    <t>#CCM_TARGET_ROOT_CLR(DRAM_ALT_CLK_ROOT)</t>
  </si>
  <si>
    <t>0x3038A004</t>
  </si>
  <si>
    <t>0x01010000</t>
  </si>
  <si>
    <t>#CCM_TARGET_ROOT_SET(DRAM_ALT_CLK_ROOT):MUX=1(system_pll1_800m_clk), PRE_PODF=2 //DRAM_ALT_CLK=800/2=400MHz</t>
  </si>
  <si>
    <t>0x03010000</t>
  </si>
  <si>
    <t>#CCM_TARGET_ROOT_SET(DRAM_APB_CLK_ROOT):MUX=3(system_pll1_160m_clk),  PRE_PODF=2 //DRAM_APB_CLK=160/2=80MHz</t>
  </si>
  <si>
    <t>0x30389804</t>
  </si>
  <si>
    <t>#CCM_TARGET_ROOT_CLR(DRAM_SEL): enable DRAM PLL bypass bit24</t>
  </si>
  <si>
    <t>#### DDR frequency point2 #####</t>
  </si>
  <si>
    <t>frequency2</t>
  </si>
  <si>
    <t>pllbypass2</t>
  </si>
  <si>
    <t>0x02000000</t>
  </si>
  <si>
    <t>#CCM_TARGET_ROOT_SET(DRAM_ALT_CLK_ROOT):MUX=2(system_pll1_100m_clk), PRE_PODF=1 //DRAM_ALT_CLK=100/1=100MHz</t>
  </si>
  <si>
    <t>0x02010000</t>
  </si>
  <si>
    <t>#CCM_TARGET_ROOT_SET(DRAM_APB_CLK_ROOT):MUX=2(system_pll1_40m_clk),  PRE_PODF=2 //DRAM_APB_CLK=40/2=20MHz</t>
  </si>
  <si>
    <t># The following is to configure the recommended training, it is strongly recommended not to change this</t>
  </si>
  <si>
    <t>TrainCtrl0</t>
  </si>
  <si>
    <t>0x131f</t>
  </si>
  <si>
    <t>#TrainCtrl[0] = Run DevInit - Device/phy initialization. Should always be set.</t>
  </si>
  <si>
    <t>#TrainCtrl[1] = Run WrLvl - Write leveling</t>
  </si>
  <si>
    <t>#TrainCtrl[2] = Run RxEn - Read gate training</t>
  </si>
  <si>
    <t>#TrainCtrl[3] = Run RdDQS1D - 1d read dqs training</t>
  </si>
  <si>
    <t>#TrainCtrl[4] = Run WrDQ1D - 1d write dq training</t>
  </si>
  <si>
    <t>#TrainCtrl[5] = RFU, must be zero</t>
  </si>
  <si>
    <t>#TrainCtrl[6] = RFU, must be zero</t>
  </si>
  <si>
    <t>#TrainCtrl[7] = RFU, must be zero</t>
  </si>
  <si>
    <t>#TrainCtrl[8] = Run RdDeskew - Per lane read dq deskew training</t>
  </si>
  <si>
    <t>#TrainCtrl[9] = Run MxRdLat - Max read latency training</t>
  </si>
  <si>
    <t>#TrainCtrl[11-10] = RFU, must be zero</t>
  </si>
  <si>
    <t>#TrainCtrl[12]      = Run LPCA - CA Training</t>
  </si>
  <si>
    <t>#TrainCtrl[15-13] = RFU, must be zero</t>
  </si>
  <si>
    <t>TrainCtrl1</t>
  </si>
  <si>
    <t>0x121f</t>
  </si>
  <si>
    <t>TrainCtrl2</t>
  </si>
  <si>
    <t># The following is for internal factory use, it is strongly recommended not to change this</t>
  </si>
  <si>
    <t>TrainInfo</t>
  </si>
  <si>
    <t>0x05</t>
  </si>
  <si>
    <t>#0x05 = Detailed debug (e.g. eys delays)</t>
  </si>
  <si>
    <t>#0x0A = Coarse debug info (e.g. rank information)</t>
  </si>
  <si>
    <t xml:space="preserve">#0xC8 = Stage completion </t>
  </si>
  <si>
    <t>#0xC9 = Assertion messages</t>
  </si>
  <si>
    <t>#0xFF = Firmware complete</t>
  </si>
  <si>
    <t>#others = reserved</t>
  </si>
  <si>
    <t xml:space="preserve">MR1 </t>
  </si>
  <si>
    <t xml:space="preserve">MR2 </t>
  </si>
  <si>
    <t xml:space="preserve">MR3 </t>
  </si>
  <si>
    <t xml:space="preserve">MR4 </t>
  </si>
  <si>
    <t xml:space="preserve">lp4x_mode   </t>
  </si>
  <si>
    <t xml:space="preserve">read_dbi    </t>
  </si>
  <si>
    <t xml:space="preserve">extCalRes   </t>
  </si>
  <si>
    <t xml:space="preserve">CaliOnce    </t>
  </si>
  <si>
    <t>RX2D_trainOpt</t>
  </si>
  <si>
    <t>TX2D_trainOpt</t>
  </si>
  <si>
    <t>Share_2dVref</t>
  </si>
  <si>
    <t>Delay_weight2d</t>
  </si>
  <si>
    <t>0x7F</t>
  </si>
  <si>
    <t>Volt_weight2d</t>
  </si>
  <si>
    <t>0x1F</t>
  </si>
</sst>
</file>

<file path=xl/styles.xml><?xml version="1.0" encoding="utf-8"?>
<styleSheet xmlns="http://schemas.openxmlformats.org/spreadsheetml/2006/main" xmlns:x14ac="http://schemas.microsoft.com/office/spreadsheetml/2009/9/ac" xmlns:mc="http://schemas.openxmlformats.org/markup-compatibility/2006">
  <fonts count="39">
    <font>
      <sz val="10.0"/>
      <color rgb="FF000000"/>
      <name val="Arial"/>
    </font>
    <font>
      <sz val="10.0"/>
      <color theme="1"/>
      <name val="Arial"/>
    </font>
    <font>
      <sz val="12.0"/>
      <color rgb="FFFF0000"/>
      <name val="Arial"/>
    </font>
    <font>
      <sz val="11.0"/>
      <color theme="1"/>
      <name val="Calibri"/>
    </font>
    <font>
      <sz val="10.0"/>
      <color theme="1"/>
      <name val="Courier New"/>
    </font>
    <font>
      <b/>
      <sz val="10.0"/>
      <color theme="1"/>
      <name val="Arial"/>
    </font>
    <font>
      <b/>
      <sz val="12.0"/>
      <color theme="1"/>
      <name val="Arial"/>
    </font>
    <font/>
    <font>
      <b/>
      <sz val="24.0"/>
      <color theme="1"/>
      <name val="Arial"/>
    </font>
    <font>
      <b/>
      <sz val="28.0"/>
      <color theme="1"/>
      <name val="Arial"/>
    </font>
    <font>
      <b/>
      <sz val="18.0"/>
      <color theme="1"/>
      <name val="Arial"/>
    </font>
    <font>
      <color theme="1"/>
      <name val="Calibri"/>
    </font>
    <font>
      <b/>
      <sz val="11.0"/>
      <color rgb="FFFA7D00"/>
      <name val="Calibri"/>
    </font>
    <font>
      <sz val="10.0"/>
      <color theme="1"/>
      <name val="Calibri"/>
    </font>
    <font>
      <b/>
      <sz val="11.0"/>
      <color theme="1"/>
      <name val="Calibri"/>
    </font>
    <font>
      <sz val="8.0"/>
      <color theme="1"/>
      <name val="Arial"/>
    </font>
    <font>
      <b/>
      <sz val="10.0"/>
      <color rgb="FFE36C09"/>
      <name val="Arial"/>
    </font>
    <font>
      <b/>
      <i/>
      <sz val="10.0"/>
      <color theme="1"/>
      <name val="Arial"/>
    </font>
    <font>
      <b/>
      <sz val="10.0"/>
      <color rgb="FFFF0000"/>
      <name val="Arial"/>
    </font>
    <font>
      <b/>
      <sz val="12.0"/>
      <color rgb="FFFF0000"/>
      <name val="Arial"/>
    </font>
    <font>
      <sz val="10.0"/>
      <name val="Arial"/>
    </font>
    <font>
      <sz val="10.0"/>
      <color rgb="FF000000"/>
      <name val="Helvetica Neue"/>
    </font>
    <font>
      <sz val="10.0"/>
      <color rgb="FFFF0000"/>
      <name val="Arial"/>
    </font>
    <font>
      <b/>
      <sz val="11.0"/>
      <color theme="1"/>
      <name val="Arial"/>
    </font>
    <font>
      <sz val="8.0"/>
      <color theme="1"/>
      <name val="Calibri"/>
    </font>
    <font>
      <sz val="11.0"/>
      <color rgb="FF3F3F76"/>
      <name val="Calibri"/>
    </font>
    <font>
      <b/>
      <sz val="10.0"/>
      <color theme="1"/>
      <name val="Calibri"/>
    </font>
    <font>
      <sz val="11.0"/>
      <color theme="1"/>
      <name val="Courier New"/>
    </font>
    <font>
      <b/>
      <sz val="11.0"/>
      <color rgb="FFFFFF00"/>
      <name val="Arial"/>
    </font>
    <font>
      <b/>
      <sz val="9.0"/>
      <color theme="1"/>
      <name val="Arial"/>
    </font>
    <font>
      <b/>
      <sz val="10.0"/>
      <color rgb="FF0070C0"/>
      <name val="Arial"/>
    </font>
    <font>
      <sz val="10.0"/>
      <color rgb="FF0070C0"/>
      <name val="Arial"/>
    </font>
    <font>
      <b/>
      <sz val="11.0"/>
      <color rgb="FFFF0000"/>
      <name val="Arial"/>
    </font>
    <font>
      <sz val="10.0"/>
      <color rgb="FF00B050"/>
      <name val="Arial"/>
    </font>
    <font>
      <sz val="9.0"/>
      <color theme="1"/>
      <name val="Arial"/>
    </font>
    <font>
      <b/>
      <sz val="9.0"/>
      <color rgb="FFFA7D00"/>
      <name val="Calibri"/>
    </font>
    <font>
      <b/>
      <sz val="14.0"/>
      <color theme="1"/>
      <name val="Arial"/>
    </font>
    <font>
      <sz val="11.0"/>
      <color rgb="FFFF0000"/>
      <name val="Arial"/>
    </font>
    <font>
      <sz val="10.0"/>
      <color rgb="FFB6DDE8"/>
      <name val="Arial"/>
    </font>
  </fonts>
  <fills count="14">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FABF8F"/>
        <bgColor rgb="FFFABF8F"/>
      </patternFill>
    </fill>
    <fill>
      <patternFill patternType="solid">
        <fgColor rgb="FFD6E3BC"/>
        <bgColor rgb="FFD6E3BC"/>
      </patternFill>
    </fill>
    <fill>
      <patternFill patternType="solid">
        <fgColor rgb="FFF2F2F2"/>
        <bgColor rgb="FFF2F2F2"/>
      </patternFill>
    </fill>
    <fill>
      <patternFill patternType="solid">
        <fgColor rgb="FFFFFF00"/>
        <bgColor rgb="FFFFFF00"/>
      </patternFill>
    </fill>
    <fill>
      <patternFill patternType="solid">
        <fgColor rgb="FFA5A5A5"/>
        <bgColor rgb="FFA5A5A5"/>
      </patternFill>
    </fill>
    <fill>
      <patternFill patternType="solid">
        <fgColor rgb="FFD8D8D8"/>
        <bgColor rgb="FFD8D8D8"/>
      </patternFill>
    </fill>
    <fill>
      <patternFill patternType="solid">
        <fgColor rgb="FFFFCC99"/>
        <bgColor rgb="FFFFCC99"/>
      </patternFill>
    </fill>
    <fill>
      <patternFill patternType="solid">
        <fgColor rgb="FFEEECE1"/>
        <bgColor rgb="FFEEECE1"/>
      </patternFill>
    </fill>
    <fill>
      <patternFill patternType="solid">
        <fgColor rgb="FF92CDDC"/>
        <bgColor rgb="FF92CDDC"/>
      </patternFill>
    </fill>
    <fill>
      <patternFill patternType="solid">
        <fgColor rgb="FFEAF1DD"/>
        <bgColor rgb="FFEAF1DD"/>
      </patternFill>
    </fill>
  </fills>
  <borders count="170">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top style="thin">
        <color rgb="FF000000"/>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border>
    <border>
      <right style="medium">
        <color rgb="FF000000"/>
      </right>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7F7F7F"/>
      </left>
      <right style="medium">
        <color rgb="FF000000"/>
      </right>
      <top style="thin">
        <color rgb="FF7F7F7F"/>
      </top>
      <bottom style="thin">
        <color rgb="FF7F7F7F"/>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medium">
        <color rgb="FF000000"/>
      </right>
      <bottom style="medium">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right style="medium">
        <color rgb="FF000000"/>
      </right>
      <top style="thin">
        <color rgb="FF000000"/>
      </top>
      <bottom style="thin">
        <color rgb="FF000000"/>
      </bottom>
    </border>
    <border>
      <left style="thin">
        <color rgb="FF000000"/>
      </left>
      <right style="thin">
        <color rgb="FF000000"/>
      </right>
    </border>
    <border>
      <left style="thin">
        <color rgb="FF000000"/>
      </left>
    </border>
    <border>
      <right style="thin">
        <color rgb="FF000000"/>
      </right>
    </border>
    <border>
      <left style="thin">
        <color rgb="FF7F7F7F"/>
      </left>
      <top style="thin">
        <color rgb="FF7F7F7F"/>
      </top>
      <bottom style="thin">
        <color rgb="FF7F7F7F"/>
      </bottom>
    </border>
    <border>
      <right style="medium">
        <color rgb="FF000000"/>
      </right>
      <top style="thin">
        <color rgb="FF7F7F7F"/>
      </top>
      <bottom style="thin">
        <color rgb="FF7F7F7F"/>
      </bottom>
    </border>
    <border>
      <left style="thin">
        <color rgb="FF000000"/>
      </left>
      <top style="thin">
        <color rgb="FF000000"/>
      </top>
      <bottom style="thin">
        <color rgb="FF7F7F7F"/>
      </bottom>
    </border>
    <border>
      <right style="medium">
        <color rgb="FF000000"/>
      </right>
      <top style="thin">
        <color rgb="FF000000"/>
      </top>
      <bottom style="thin">
        <color rgb="FF7F7F7F"/>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medium">
        <color rgb="FF000000"/>
      </left>
      <right style="medium">
        <color rgb="FF000000"/>
      </right>
      <top style="medium">
        <color rgb="FF000000"/>
      </top>
      <bottom style="medium">
        <color rgb="FF000000"/>
      </bottom>
    </border>
    <border>
      <left style="thin">
        <color rgb="FF7F7F7F"/>
      </left>
      <top style="thin">
        <color rgb="FF7F7F7F"/>
      </top>
      <bottom/>
    </border>
    <border>
      <right style="medium">
        <color rgb="FF000000"/>
      </right>
      <top style="thin">
        <color rgb="FF7F7F7F"/>
      </top>
      <bottom/>
    </border>
    <border>
      <left style="thin">
        <color rgb="FF000000"/>
      </left>
      <right/>
      <top style="thin">
        <color rgb="FF000000"/>
      </top>
    </border>
    <border>
      <top style="thin">
        <color rgb="FF000000"/>
      </top>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thin">
        <color rgb="FF000000"/>
      </left>
      <right/>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right/>
      <top style="thin">
        <color rgb="FF000000"/>
      </top>
      <bottom style="thin">
        <color rgb="FF000000"/>
      </bottom>
    </border>
    <border>
      <right style="medium">
        <color rgb="FF000000"/>
      </right>
      <bottom style="thin">
        <color rgb="FF000000"/>
      </bottom>
    </border>
    <border>
      <bottom style="thin">
        <color rgb="FF000000"/>
      </bottom>
    </border>
    <border>
      <left style="thin">
        <color rgb="FF000000"/>
      </left>
      <right style="thin">
        <color rgb="FF000000"/>
      </right>
      <top style="medium">
        <color rgb="FF000000"/>
      </top>
      <bottom style="thin">
        <color rgb="FF000000"/>
      </bottom>
    </border>
    <border>
      <left style="thin">
        <color rgb="FF7F7F7F"/>
      </left>
      <right style="thin">
        <color rgb="FF7F7F7F"/>
      </right>
      <top style="medium">
        <color rgb="FF000000"/>
      </top>
    </border>
    <border>
      <left style="thin">
        <color rgb="FF000000"/>
      </left>
      <right style="thin">
        <color rgb="FF000000"/>
      </right>
      <top style="medium">
        <color rgb="FF000000"/>
      </top>
    </border>
    <border>
      <right style="medium">
        <color rgb="FF000000"/>
      </right>
      <top style="medium">
        <color rgb="FF000000"/>
      </top>
    </border>
    <border>
      <left style="thin">
        <color rgb="FF7F7F7F"/>
      </left>
      <right style="thin">
        <color rgb="FF7F7F7F"/>
      </right>
      <top style="thin">
        <color rgb="FF7F7F7F"/>
      </top>
      <bottom style="thin">
        <color rgb="FF7F7F7F"/>
      </bottom>
    </border>
    <border>
      <left style="thin">
        <color rgb="FF000000"/>
      </left>
      <right style="thin">
        <color rgb="FF000000"/>
      </right>
      <top style="thin">
        <color rgb="FF000000"/>
      </top>
      <bottom style="medium">
        <color rgb="FF000000"/>
      </bottom>
    </border>
    <border>
      <left style="thin">
        <color rgb="FF7F7F7F"/>
      </left>
      <right style="thin">
        <color rgb="FF7F7F7F"/>
      </right>
      <top/>
      <bottom style="medium">
        <color rgb="FF000000"/>
      </bottom>
    </border>
    <border>
      <left style="thin">
        <color rgb="FF000000"/>
      </left>
      <right style="thin">
        <color rgb="FF000000"/>
      </righ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top style="medium">
        <color rgb="FF000000"/>
      </top>
      <bottom style="medium">
        <color rgb="FF000000"/>
      </bottom>
    </border>
    <border>
      <left style="thin">
        <color rgb="FF000000"/>
      </left>
      <right style="medium">
        <color rgb="FF000000"/>
      </right>
      <top style="medium">
        <color rgb="FF000000"/>
      </top>
    </border>
    <border>
      <left style="thin">
        <color rgb="FF7F7F7F"/>
      </left>
      <right style="thin">
        <color rgb="FF7F7F7F"/>
      </right>
      <top style="thin">
        <color rgb="FF7F7F7F"/>
      </top>
      <bottom style="medium">
        <color rgb="FF000000"/>
      </bottom>
    </border>
    <border>
      <left style="thin">
        <color rgb="FF7F7F7F"/>
      </left>
      <right style="thin">
        <color rgb="FF7F7F7F"/>
      </right>
      <top style="medium">
        <color rgb="FF000000"/>
      </top>
      <bottom/>
    </border>
    <border>
      <left style="thin">
        <color rgb="FF000000"/>
      </left>
      <right style="medium">
        <color rgb="FF000000"/>
      </right>
    </border>
    <border>
      <left style="thin">
        <color rgb="FF7F7F7F"/>
      </left>
      <right style="thin">
        <color rgb="FF7F7F7F"/>
      </right>
      <top style="medium">
        <color rgb="FF000000"/>
      </top>
      <bottom style="thin">
        <color rgb="FF7F7F7F"/>
      </bottom>
    </border>
    <border>
      <left style="thin">
        <color rgb="FF000000"/>
      </left>
      <right style="thin">
        <color rgb="FF000000"/>
      </right>
      <top/>
      <bottom style="thin">
        <color rgb="FF000000"/>
      </bottom>
    </border>
    <border>
      <left style="thin">
        <color rgb="FF7F7F7F"/>
      </left>
      <right style="thin">
        <color rgb="FF7F7F7F"/>
      </right>
      <top/>
      <bottom/>
    </border>
    <border>
      <left style="thin">
        <color rgb="FF000000"/>
      </left>
      <top style="medium">
        <color rgb="FF000000"/>
      </top>
    </border>
    <border>
      <left style="thin">
        <color rgb="FF000000"/>
      </lef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thin">
        <color rgb="FF000000"/>
      </left>
      <right/>
      <top/>
      <bottom/>
    </border>
    <border>
      <left style="medium">
        <color rgb="FF000000"/>
      </left>
      <right style="medium">
        <color rgb="FF000000"/>
      </right>
      <bottom style="medium">
        <color rgb="FF000000"/>
      </bottom>
    </border>
    <border>
      <left style="medium">
        <color rgb="FF000000"/>
      </left>
      <top/>
      <bottom/>
    </border>
    <border>
      <right style="thin">
        <color rgb="FF000000"/>
      </right>
      <top style="medium">
        <color rgb="FF000000"/>
      </top>
      <bottom style="medium">
        <color rgb="FF000000"/>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right style="thin">
        <color rgb="FF000000"/>
      </right>
      <top style="thin">
        <color rgb="FF000000"/>
      </top>
      <bottom/>
    </border>
    <border>
      <left style="medium">
        <color rgb="FF000000"/>
      </left>
      <right style="thin">
        <color rgb="FF000000"/>
      </right>
    </border>
    <border>
      <left style="thin">
        <color rgb="FF7F7F7F"/>
      </left>
      <right style="thin">
        <color rgb="FF7F7F7F"/>
      </right>
      <top style="medium">
        <color rgb="FF000000"/>
      </top>
      <bottom style="medium">
        <color rgb="FF000000"/>
      </bottom>
    </border>
    <border>
      <left style="thin">
        <color rgb="FF7F7F7F"/>
      </left>
      <right style="thin">
        <color rgb="FF7F7F7F"/>
      </right>
      <top style="thin">
        <color rgb="FF000000"/>
      </top>
      <bottom style="thin">
        <color rgb="FF000000"/>
      </bottom>
    </border>
    <border>
      <left style="thin">
        <color rgb="FF7F7F7F"/>
      </left>
      <right style="thin">
        <color rgb="FF7F7F7F"/>
      </right>
      <top/>
      <bottom style="thin">
        <color rgb="FF7F7F7F"/>
      </bottom>
    </border>
    <border>
      <left style="medium">
        <color rgb="FF000000"/>
      </left>
      <right/>
      <top/>
    </border>
    <border>
      <left style="medium">
        <color rgb="FF000000"/>
      </left>
      <right/>
    </border>
    <border>
      <left style="medium">
        <color rgb="FF000000"/>
      </left>
      <right/>
      <bottom/>
    </border>
    <border>
      <left style="medium">
        <color rgb="FF000000"/>
      </left>
      <right style="thin">
        <color rgb="FF000000"/>
      </right>
      <top style="medium">
        <color rgb="FF000000"/>
      </top>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right/>
      <top/>
      <bottom style="medium">
        <color rgb="FF000000"/>
      </bottom>
    </border>
    <border>
      <left/>
      <right style="medium">
        <color rgb="FF000000"/>
      </right>
      <top/>
      <bottom/>
    </border>
    <border>
      <left style="thin">
        <color rgb="FF000000"/>
      </left>
      <right/>
      <top style="thin">
        <color rgb="FF000000"/>
      </top>
      <bottom style="medium">
        <color rgb="FF000000"/>
      </bottom>
    </border>
    <border>
      <left/>
      <right/>
      <top style="medium">
        <color rgb="FF000000"/>
      </top>
      <bottom style="medium">
        <color rgb="FF000000"/>
      </bottom>
    </border>
    <border>
      <left/>
      <right/>
      <top/>
    </border>
    <border>
      <left/>
      <right/>
    </border>
    <border>
      <left/>
      <right/>
      <bottom/>
    </border>
    <border>
      <left style="thin">
        <color rgb="FF000000"/>
      </left>
      <right style="thin">
        <color rgb="FF000000"/>
      </right>
      <top style="thin">
        <color rgb="FF7F7F7F"/>
      </top>
      <bottom style="thin">
        <color rgb="FF000000"/>
      </bottom>
    </border>
    <border>
      <left style="thin">
        <color rgb="FF7F7F7F"/>
      </left>
      <right/>
      <top style="thin">
        <color rgb="FF7F7F7F"/>
      </top>
      <bottom style="thin">
        <color rgb="FF7F7F7F"/>
      </bottom>
    </border>
    <border>
      <left style="medium">
        <color rgb="FF000000"/>
      </left>
      <top style="thin">
        <color rgb="FF000000"/>
      </top>
      <bottom style="medium">
        <color rgb="FF000000"/>
      </bottom>
    </border>
    <border>
      <top style="thin">
        <color rgb="FF000000"/>
      </top>
      <bottom style="medium">
        <color rgb="FF000000"/>
      </bottom>
    </border>
    <border>
      <top style="medium">
        <color rgb="FF000000"/>
      </top>
      <bottom style="thin">
        <color rgb="FF000000"/>
      </bottom>
    </border>
    <border>
      <right style="thin">
        <color rgb="FF000000"/>
      </right>
      <top style="medium">
        <color rgb="FF000000"/>
      </top>
      <bottom style="thin">
        <color rgb="FF000000"/>
      </bottom>
    </border>
    <border>
      <right style="thin">
        <color rgb="FF000000"/>
      </right>
      <top style="thin">
        <color rgb="FF000000"/>
      </top>
      <bottom style="medium">
        <color rgb="FF000000"/>
      </bottom>
    </border>
    <border>
      <right style="medium">
        <color rgb="FF000000"/>
      </right>
      <top style="thin">
        <color rgb="FF000000"/>
      </top>
    </border>
    <border>
      <right style="thin">
        <color rgb="FF000000"/>
      </right>
      <top/>
      <bottom/>
    </border>
    <border>
      <right/>
      <top style="medium">
        <color rgb="FF000000"/>
      </top>
      <bottom style="medium">
        <color rgb="FF000000"/>
      </bottom>
    </border>
    <border>
      <left style="medium">
        <color rgb="FF000000"/>
      </left>
      <right/>
      <top/>
      <bottom/>
    </border>
    <border>
      <left style="thin">
        <color rgb="FF000000"/>
      </left>
      <right style="medium">
        <color rgb="FF000000"/>
      </right>
      <top/>
      <bottom style="thin">
        <color rgb="FF000000"/>
      </bottom>
    </border>
    <border>
      <left style="medium">
        <color rgb="FF000000"/>
      </left>
      <right/>
      <top/>
      <bottom style="medium">
        <color rgb="FF000000"/>
      </bottom>
    </border>
    <border>
      <left/>
      <right style="medium">
        <color rgb="FF000000"/>
      </right>
      <top/>
      <bottom style="medium">
        <color rgb="FF000000"/>
      </bottom>
    </border>
    <border>
      <left style="thin">
        <color rgb="FF000000"/>
      </left>
      <right style="thin">
        <color rgb="FF000000"/>
      </right>
      <top style="medium">
        <color rgb="FF000000"/>
      </top>
      <bottom style="thin">
        <color rgb="FF7F7F7F"/>
      </bottom>
    </border>
    <border>
      <left/>
      <right style="thin">
        <color rgb="FF7F7F7F"/>
      </right>
      <top style="thin">
        <color rgb="FF7F7F7F"/>
      </top>
      <bottom style="thin">
        <color rgb="FF7F7F7F"/>
      </bottom>
    </border>
    <border>
      <left/>
      <right style="thin">
        <color rgb="FF7F7F7F"/>
      </right>
      <top style="thin">
        <color rgb="FF7F7F7F"/>
      </top>
      <bottom style="medium">
        <color rgb="FF000000"/>
      </bottom>
    </border>
    <border>
      <left style="thin">
        <color rgb="FF7F7F7F"/>
      </left>
      <right style="medium">
        <color rgb="FF000000"/>
      </right>
      <top style="thin">
        <color rgb="FF7F7F7F"/>
      </top>
      <bottom style="medium">
        <color rgb="FF000000"/>
      </bottom>
    </border>
    <border>
      <left style="medium">
        <color rgb="FF000000"/>
      </left>
      <top style="medium">
        <color rgb="FF000000"/>
      </top>
      <bottom style="thin">
        <color rgb="FF000000"/>
      </bottom>
    </border>
    <border>
      <left style="medium">
        <color rgb="FF000000"/>
      </left>
      <top style="medium">
        <color rgb="FF000000"/>
      </top>
      <bottom/>
    </border>
    <border>
      <top style="medium">
        <color rgb="FF000000"/>
      </top>
      <bottom/>
    </border>
    <border>
      <right/>
      <top style="medium">
        <color rgb="FF000000"/>
      </top>
      <bottom/>
    </border>
    <border>
      <left style="medium">
        <color rgb="FF0070C0"/>
      </left>
      <right style="thin">
        <color rgb="FF000000"/>
      </right>
      <top style="medium">
        <color rgb="FF0070C0"/>
      </top>
    </border>
    <border>
      <left style="thin">
        <color rgb="FF000000"/>
      </left>
      <right style="thin">
        <color rgb="FF000000"/>
      </right>
      <top style="medium">
        <color rgb="FF0070C0"/>
      </top>
    </border>
    <border>
      <left style="thin">
        <color rgb="FF000000"/>
      </left>
      <right style="medium">
        <color rgb="FF000000"/>
      </right>
      <top style="medium">
        <color rgb="FF0070C0"/>
      </top>
    </border>
    <border>
      <left style="medium">
        <color rgb="FF000000"/>
      </left>
      <top style="medium">
        <color rgb="FF0070C0"/>
      </top>
    </border>
    <border>
      <right style="medium">
        <color rgb="FF000000"/>
      </right>
      <top style="medium">
        <color rgb="FF0070C0"/>
      </top>
    </border>
    <border>
      <top style="medium">
        <color rgb="FF0070C0"/>
      </top>
    </border>
    <border>
      <right style="medium">
        <color rgb="FF0070C0"/>
      </right>
      <top style="medium">
        <color rgb="FF0070C0"/>
      </top>
    </border>
    <border>
      <left style="medium">
        <color rgb="FF0070C0"/>
      </left>
      <right style="thin">
        <color rgb="FF000000"/>
      </right>
      <top style="medium">
        <color rgb="FF000000"/>
      </top>
      <bottom style="thin">
        <color rgb="FF000000"/>
      </bottom>
    </border>
    <border>
      <right style="medium">
        <color rgb="FF0070C0"/>
      </right>
    </border>
    <border>
      <left style="medium">
        <color rgb="FF0070C0"/>
      </left>
      <right style="thin">
        <color rgb="FF000000"/>
      </right>
      <top style="thin">
        <color rgb="FF000000"/>
      </top>
      <bottom style="thin">
        <color rgb="FF000000"/>
      </bottom>
    </border>
    <border>
      <left style="medium">
        <color rgb="FF0070C0"/>
      </left>
      <right style="thin">
        <color rgb="FF000000"/>
      </right>
      <bottom style="thin">
        <color rgb="FF000000"/>
      </bottom>
    </border>
    <border>
      <left style="medium">
        <color rgb="FF0070C0"/>
      </left>
      <right style="thin">
        <color rgb="FF000000"/>
      </right>
      <top style="thin">
        <color rgb="FF000000"/>
      </top>
      <bottom style="medium">
        <color rgb="FF000000"/>
      </bottom>
    </border>
    <border>
      <left style="medium">
        <color rgb="FF0070C0"/>
      </left>
      <top style="medium">
        <color rgb="FF000000"/>
      </top>
      <bottom style="medium">
        <color rgb="FF000000"/>
      </bottom>
    </border>
    <border>
      <left style="medium">
        <color rgb="FF0070C0"/>
      </left>
      <right style="thin">
        <color rgb="FF000000"/>
      </right>
      <top style="medium">
        <color rgb="FF000000"/>
      </top>
    </border>
    <border>
      <left style="medium">
        <color rgb="FF0070C0"/>
      </left>
      <right style="thin">
        <color rgb="FF000000"/>
      </right>
      <top style="thin">
        <color rgb="FF000000"/>
      </top>
      <bottom style="medium">
        <color rgb="FF0070C0"/>
      </bottom>
    </border>
    <border>
      <left style="thin">
        <color rgb="FF000000"/>
      </left>
      <right style="thin">
        <color rgb="FF000000"/>
      </right>
      <top style="thin">
        <color rgb="FF000000"/>
      </top>
      <bottom style="medium">
        <color rgb="FF0070C0"/>
      </bottom>
    </border>
    <border>
      <left style="thin">
        <color rgb="FF000000"/>
      </left>
      <right style="medium">
        <color rgb="FF000000"/>
      </right>
      <top style="thin">
        <color rgb="FF000000"/>
      </top>
      <bottom style="medium">
        <color rgb="FF0070C0"/>
      </bottom>
    </border>
    <border>
      <left style="medium">
        <color rgb="FF000000"/>
      </left>
      <bottom style="medium">
        <color rgb="FF0070C0"/>
      </bottom>
    </border>
    <border>
      <right style="medium">
        <color rgb="FF000000"/>
      </right>
      <bottom style="medium">
        <color rgb="FF0070C0"/>
      </bottom>
    </border>
    <border>
      <bottom style="medium">
        <color rgb="FF0070C0"/>
      </bottom>
    </border>
    <border>
      <right style="medium">
        <color rgb="FF0070C0"/>
      </right>
      <bottom style="medium">
        <color rgb="FF0070C0"/>
      </bottom>
    </border>
    <border>
      <left style="medium">
        <color rgb="FF00B050"/>
      </left>
      <right style="thin">
        <color rgb="FF000000"/>
      </right>
      <top style="medium">
        <color rgb="FF00B050"/>
      </top>
    </border>
    <border>
      <left style="thin">
        <color rgb="FF000000"/>
      </left>
      <right style="thin">
        <color rgb="FF000000"/>
      </right>
      <top style="medium">
        <color rgb="FF00B050"/>
      </top>
    </border>
    <border>
      <left style="thin">
        <color rgb="FF000000"/>
      </left>
      <right style="medium">
        <color rgb="FF000000"/>
      </right>
      <top style="medium">
        <color rgb="FF00B050"/>
      </top>
    </border>
    <border>
      <left style="medium">
        <color rgb="FF000000"/>
      </left>
      <top style="medium">
        <color rgb="FF00B050"/>
      </top>
    </border>
    <border>
      <right style="medium">
        <color rgb="FF000000"/>
      </right>
      <top style="medium">
        <color rgb="FF00B050"/>
      </top>
    </border>
    <border>
      <top style="medium">
        <color rgb="FF00B050"/>
      </top>
    </border>
    <border>
      <right style="medium">
        <color rgb="FF00B050"/>
      </right>
      <top style="medium">
        <color rgb="FF00B050"/>
      </top>
    </border>
    <border>
      <left style="medium">
        <color rgb="FF00B050"/>
      </left>
      <right style="thin">
        <color rgb="FF000000"/>
      </right>
      <top style="medium">
        <color rgb="FF000000"/>
      </top>
      <bottom style="thin">
        <color rgb="FF000000"/>
      </bottom>
    </border>
    <border>
      <right style="medium">
        <color rgb="FF00B050"/>
      </right>
    </border>
    <border>
      <left style="medium">
        <color rgb="FF00B050"/>
      </left>
      <right style="thin">
        <color rgb="FF000000"/>
      </right>
      <top style="thin">
        <color rgb="FF000000"/>
      </top>
      <bottom style="thin">
        <color rgb="FF000000"/>
      </bottom>
    </border>
    <border>
      <left style="medium">
        <color rgb="FF00B050"/>
      </left>
      <right style="thin">
        <color rgb="FF000000"/>
      </right>
      <bottom style="thin">
        <color rgb="FF000000"/>
      </bottom>
    </border>
    <border>
      <left style="medium">
        <color rgb="FF00B050"/>
      </left>
      <right style="thin">
        <color rgb="FF000000"/>
      </right>
      <top style="thin">
        <color rgb="FF000000"/>
      </top>
      <bottom style="medium">
        <color rgb="FF000000"/>
      </bottom>
    </border>
    <border>
      <left style="medium">
        <color rgb="FF00B050"/>
      </left>
      <top style="medium">
        <color rgb="FF000000"/>
      </top>
      <bottom style="medium">
        <color rgb="FF000000"/>
      </bottom>
    </border>
    <border>
      <left style="medium">
        <color rgb="FF00B050"/>
      </left>
      <right style="thin">
        <color rgb="FF000000"/>
      </right>
      <top style="medium">
        <color rgb="FF000000"/>
      </top>
    </border>
    <border>
      <left style="medium">
        <color rgb="FF00B050"/>
      </left>
      <right style="thin">
        <color rgb="FF000000"/>
      </right>
      <top style="thin">
        <color rgb="FF000000"/>
      </top>
      <bottom style="medium">
        <color rgb="FF00B050"/>
      </bottom>
    </border>
    <border>
      <left style="thin">
        <color rgb="FF000000"/>
      </left>
      <right style="thin">
        <color rgb="FF000000"/>
      </right>
      <top style="thin">
        <color rgb="FF000000"/>
      </top>
      <bottom style="medium">
        <color rgb="FF00B050"/>
      </bottom>
    </border>
    <border>
      <left style="thin">
        <color rgb="FF000000"/>
      </left>
      <right style="medium">
        <color rgb="FF000000"/>
      </right>
      <top style="thin">
        <color rgb="FF000000"/>
      </top>
      <bottom style="medium">
        <color rgb="FF00B050"/>
      </bottom>
    </border>
    <border>
      <left style="medium">
        <color rgb="FF000000"/>
      </left>
      <bottom style="medium">
        <color rgb="FF00B050"/>
      </bottom>
    </border>
    <border>
      <right style="medium">
        <color rgb="FF000000"/>
      </right>
      <bottom style="medium">
        <color rgb="FF00B050"/>
      </bottom>
    </border>
    <border>
      <bottom style="medium">
        <color rgb="FF00B050"/>
      </bottom>
    </border>
    <border>
      <right style="medium">
        <color rgb="FF00B050"/>
      </right>
      <bottom style="medium">
        <color rgb="FF00B050"/>
      </bottom>
    </border>
    <border>
      <left style="thin">
        <color rgb="FF7F7F7F"/>
      </left>
      <right style="thin">
        <color rgb="FF7F7F7F"/>
      </right>
      <top style="thin">
        <color rgb="FF7F7F7F"/>
      </top>
      <bottom/>
    </border>
  </borders>
  <cellStyleXfs count="1">
    <xf borderId="0" fillId="0" fontId="0" numFmtId="0" applyAlignment="1" applyFont="1"/>
  </cellStyleXfs>
  <cellXfs count="537">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3" numFmtId="0" xfId="0" applyAlignment="1" applyBorder="1" applyFont="1">
      <alignment shrinkToFit="0" wrapText="1"/>
    </xf>
    <xf borderId="1" fillId="2" fontId="1" numFmtId="0" xfId="0" applyAlignment="1" applyBorder="1" applyFont="1">
      <alignment shrinkToFit="0" wrapText="1"/>
    </xf>
    <xf borderId="1" fillId="2" fontId="4" numFmtId="0" xfId="0" applyBorder="1" applyFont="1"/>
    <xf borderId="0" fillId="0" fontId="5" numFmtId="0" xfId="0" applyFont="1"/>
    <xf borderId="2" fillId="2" fontId="1" numFmtId="0" xfId="0" applyAlignment="1" applyBorder="1" applyFont="1">
      <alignment horizontal="center" shrinkToFit="0" vertical="top" wrapText="1"/>
    </xf>
    <xf borderId="2" fillId="2" fontId="1" numFmtId="0" xfId="0" applyAlignment="1" applyBorder="1" applyFont="1">
      <alignment horizontal="left" shrinkToFit="0" vertical="top" wrapText="1"/>
    </xf>
    <xf borderId="3" fillId="2" fontId="6" numFmtId="0" xfId="0" applyAlignment="1" applyBorder="1" applyFont="1">
      <alignment horizontal="center"/>
    </xf>
    <xf borderId="4" fillId="0" fontId="7" numFmtId="0" xfId="0" applyBorder="1" applyFont="1"/>
    <xf quotePrefix="1" borderId="2" fillId="2" fontId="1" numFmtId="0" xfId="0" applyAlignment="1" applyBorder="1" applyFont="1">
      <alignment horizontal="left" shrinkToFit="0" vertical="top" wrapText="1"/>
    </xf>
    <xf borderId="2" fillId="2" fontId="1" numFmtId="0" xfId="0" applyAlignment="1" applyBorder="1" applyFont="1">
      <alignment horizontal="left" shrinkToFit="0" vertical="center" wrapText="1"/>
    </xf>
    <xf borderId="1" fillId="3" fontId="1" numFmtId="0" xfId="0" applyAlignment="1" applyBorder="1" applyFill="1" applyFont="1">
      <alignment horizontal="center"/>
    </xf>
    <xf borderId="1" fillId="2" fontId="8" numFmtId="0" xfId="0" applyBorder="1" applyFont="1"/>
    <xf borderId="0" fillId="0" fontId="8" numFmtId="0" xfId="0" applyFont="1"/>
    <xf borderId="1" fillId="3" fontId="9" numFmtId="0" xfId="0" applyBorder="1" applyFont="1"/>
    <xf borderId="1" fillId="3" fontId="8" numFmtId="0" xfId="0" applyBorder="1" applyFont="1"/>
    <xf borderId="1" fillId="2" fontId="10" numFmtId="0" xfId="0" applyBorder="1" applyFont="1"/>
    <xf borderId="0" fillId="0" fontId="10" numFmtId="0" xfId="0" applyFont="1"/>
    <xf borderId="5" fillId="3" fontId="10" numFmtId="0" xfId="0" applyAlignment="1" applyBorder="1" applyFont="1">
      <alignment horizontal="right"/>
    </xf>
    <xf borderId="6" fillId="0" fontId="7" numFmtId="0" xfId="0" applyBorder="1" applyFont="1"/>
    <xf borderId="7" fillId="0" fontId="7" numFmtId="0" xfId="0" applyBorder="1" applyFont="1"/>
    <xf borderId="3" fillId="3" fontId="10" numFmtId="0" xfId="0" applyAlignment="1" applyBorder="1" applyFont="1">
      <alignment horizontal="left"/>
    </xf>
    <xf borderId="8" fillId="0" fontId="7" numFmtId="0" xfId="0" applyBorder="1" applyFont="1"/>
    <xf borderId="1" fillId="3" fontId="10" numFmtId="0" xfId="0" applyBorder="1" applyFont="1"/>
    <xf borderId="0" fillId="0" fontId="1" numFmtId="0" xfId="0" applyFont="1"/>
    <xf borderId="5" fillId="2" fontId="10" numFmtId="0" xfId="0" applyAlignment="1" applyBorder="1" applyFont="1">
      <alignment horizontal="center" shrinkToFit="0" wrapText="1"/>
    </xf>
    <xf borderId="9" fillId="2" fontId="6" numFmtId="0" xfId="0" applyBorder="1" applyFont="1"/>
    <xf borderId="10" fillId="2" fontId="1" numFmtId="0" xfId="0" applyBorder="1" applyFont="1"/>
    <xf borderId="11" fillId="2" fontId="1" numFmtId="0" xfId="0" applyAlignment="1" applyBorder="1" applyFont="1">
      <alignment horizontal="center"/>
    </xf>
    <xf borderId="1" fillId="2" fontId="1" numFmtId="0" xfId="0" applyAlignment="1" applyBorder="1" applyFont="1">
      <alignment horizontal="center"/>
    </xf>
    <xf borderId="0" fillId="0" fontId="11" numFmtId="0" xfId="0" applyFont="1"/>
    <xf borderId="12" fillId="0" fontId="1" numFmtId="0" xfId="0" applyAlignment="1" applyBorder="1" applyFont="1">
      <alignment horizontal="left" shrinkToFit="0" vertical="center" wrapText="1"/>
    </xf>
    <xf borderId="13" fillId="0" fontId="7" numFmtId="0" xfId="0" applyBorder="1" applyFont="1"/>
    <xf borderId="14" fillId="2" fontId="1" numFmtId="0" xfId="0" applyAlignment="1" applyBorder="1" applyFont="1">
      <alignment horizontal="left" shrinkToFit="0" vertical="center" wrapText="1"/>
    </xf>
    <xf borderId="15" fillId="4" fontId="1" numFmtId="0" xfId="0" applyAlignment="1" applyBorder="1" applyFill="1" applyFont="1">
      <alignment horizontal="center"/>
    </xf>
    <xf borderId="12" fillId="0" fontId="7" numFmtId="0" xfId="0" applyBorder="1" applyFont="1"/>
    <xf borderId="16" fillId="0" fontId="7" numFmtId="0" xfId="0" applyBorder="1" applyFont="1"/>
    <xf borderId="17" fillId="0" fontId="7" numFmtId="0" xfId="0" applyBorder="1" applyFont="1"/>
    <xf borderId="15" fillId="5" fontId="1" numFmtId="0" xfId="0" applyAlignment="1" applyBorder="1" applyFill="1" applyFont="1">
      <alignment horizontal="center"/>
    </xf>
    <xf borderId="18" fillId="2" fontId="1" numFmtId="0" xfId="0" applyAlignment="1" applyBorder="1" applyFont="1">
      <alignment horizontal="left" shrinkToFit="0" vertical="center" wrapText="1"/>
    </xf>
    <xf borderId="19" fillId="6" fontId="12" numFmtId="0" xfId="0" applyAlignment="1" applyBorder="1" applyFill="1" applyFont="1">
      <alignment horizontal="center" shrinkToFit="0" wrapText="1"/>
    </xf>
    <xf borderId="19" fillId="2" fontId="12" numFmtId="0" xfId="0" applyAlignment="1" applyBorder="1" applyFont="1">
      <alignment horizontal="center" shrinkToFit="0" wrapText="1"/>
    </xf>
    <xf borderId="15" fillId="7" fontId="1" numFmtId="0" xfId="0" applyAlignment="1" applyBorder="1" applyFill="1" applyFont="1">
      <alignment horizontal="center"/>
    </xf>
    <xf borderId="0" fillId="0" fontId="1" numFmtId="0" xfId="0" applyAlignment="1" applyFont="1">
      <alignment horizontal="left"/>
    </xf>
    <xf borderId="20" fillId="0" fontId="7" numFmtId="0" xfId="0" applyBorder="1" applyFont="1"/>
    <xf borderId="21" fillId="0" fontId="7" numFmtId="0" xfId="0" applyBorder="1" applyFont="1"/>
    <xf borderId="22" fillId="0" fontId="7" numFmtId="0" xfId="0" applyBorder="1" applyFont="1"/>
    <xf borderId="23" fillId="0" fontId="7" numFmtId="0" xfId="0" applyBorder="1" applyFont="1"/>
    <xf borderId="24" fillId="0" fontId="7" numFmtId="0" xfId="0" applyBorder="1" applyFont="1"/>
    <xf borderId="11" fillId="2" fontId="1" numFmtId="0" xfId="0" applyBorder="1" applyFont="1"/>
    <xf borderId="1" fillId="2" fontId="13" numFmtId="0" xfId="0" applyAlignment="1" applyBorder="1" applyFont="1">
      <alignment shrinkToFit="0" vertical="top" wrapText="1"/>
    </xf>
    <xf borderId="25" fillId="5" fontId="14" numFmtId="0" xfId="0" applyAlignment="1" applyBorder="1" applyFont="1">
      <alignment horizontal="left" shrinkToFit="0" vertical="top" wrapText="1"/>
    </xf>
    <xf borderId="25" fillId="5" fontId="1" numFmtId="0" xfId="0" applyAlignment="1" applyBorder="1" applyFont="1">
      <alignment horizontal="left" shrinkToFit="0" vertical="top" wrapText="1"/>
    </xf>
    <xf borderId="26" fillId="4" fontId="1" numFmtId="0" xfId="0" applyAlignment="1" applyBorder="1" applyFont="1">
      <alignment horizontal="left" shrinkToFit="0" vertical="top" wrapText="1"/>
    </xf>
    <xf borderId="27" fillId="0" fontId="7" numFmtId="0" xfId="0" applyBorder="1" applyFont="1"/>
    <xf borderId="18" fillId="0" fontId="1" numFmtId="0" xfId="0" applyBorder="1" applyFont="1"/>
    <xf borderId="3" fillId="0" fontId="5" numFmtId="0" xfId="0" applyAlignment="1" applyBorder="1" applyFont="1">
      <alignment horizontal="center"/>
    </xf>
    <xf borderId="28" fillId="0" fontId="7" numFmtId="0" xfId="0" applyBorder="1" applyFont="1"/>
    <xf borderId="29" fillId="0" fontId="7" numFmtId="0" xfId="0" applyBorder="1" applyFont="1"/>
    <xf borderId="30" fillId="0" fontId="7" numFmtId="0" xfId="0" applyBorder="1" applyFont="1"/>
    <xf borderId="31" fillId="0" fontId="7" numFmtId="0" xfId="0" applyBorder="1" applyFont="1"/>
    <xf borderId="3" fillId="4" fontId="1" numFmtId="49" xfId="0" applyAlignment="1" applyBorder="1" applyFont="1" applyNumberFormat="1">
      <alignment horizontal="center" readingOrder="0"/>
    </xf>
    <xf borderId="18" fillId="0" fontId="1" numFmtId="0" xfId="0" applyAlignment="1" applyBorder="1" applyFont="1">
      <alignment shrinkToFit="0" wrapText="1"/>
    </xf>
    <xf borderId="32" fillId="4" fontId="3" numFmtId="0" xfId="0" applyAlignment="1" applyBorder="1" applyFont="1">
      <alignment horizontal="center" readingOrder="0"/>
    </xf>
    <xf borderId="33" fillId="0" fontId="7" numFmtId="0" xfId="0" applyBorder="1" applyFont="1"/>
    <xf borderId="32" fillId="6" fontId="12" numFmtId="0" xfId="0" applyAlignment="1" applyBorder="1" applyFont="1">
      <alignment horizontal="center"/>
    </xf>
    <xf borderId="34" fillId="4" fontId="1" numFmtId="0" xfId="0" applyAlignment="1" applyBorder="1" applyFont="1">
      <alignment horizontal="center" readingOrder="0"/>
    </xf>
    <xf borderId="35" fillId="0" fontId="7" numFmtId="0" xfId="0" applyBorder="1" applyFont="1"/>
    <xf borderId="3" fillId="4" fontId="1" numFmtId="0" xfId="0" applyAlignment="1" applyBorder="1" applyFont="1">
      <alignment horizontal="center" readingOrder="0"/>
    </xf>
    <xf borderId="3" fillId="2" fontId="1" numFmtId="0" xfId="0" applyAlignment="1" applyBorder="1" applyFont="1">
      <alignment horizontal="center"/>
    </xf>
    <xf borderId="36" fillId="2" fontId="5" numFmtId="0" xfId="0" applyAlignment="1" applyBorder="1" applyFont="1">
      <alignment horizontal="left" shrinkToFit="0" vertical="top" wrapText="1"/>
    </xf>
    <xf borderId="37" fillId="0" fontId="7" numFmtId="0" xfId="0" applyBorder="1" applyFont="1"/>
    <xf borderId="38" fillId="0" fontId="7" numFmtId="0" xfId="0" applyBorder="1" applyFont="1"/>
    <xf borderId="39" fillId="0" fontId="7" numFmtId="0" xfId="0" applyBorder="1" applyFont="1"/>
    <xf borderId="40" fillId="0" fontId="7" numFmtId="0" xfId="0" applyBorder="1" applyFont="1"/>
    <xf borderId="36" fillId="0" fontId="5" numFmtId="0" xfId="0" applyBorder="1" applyFont="1"/>
    <xf borderId="41" fillId="4" fontId="5" numFmtId="0" xfId="0" applyAlignment="1" applyBorder="1" applyFont="1">
      <alignment horizontal="center" shrinkToFit="0" vertical="top" wrapText="1"/>
    </xf>
    <xf borderId="2" fillId="5" fontId="5" numFmtId="0" xfId="0" applyAlignment="1" applyBorder="1" applyFont="1">
      <alignment horizontal="left" readingOrder="0" shrinkToFit="0" vertical="top" wrapText="1"/>
    </xf>
    <xf borderId="2" fillId="5" fontId="5" numFmtId="0" xfId="0" applyAlignment="1" applyBorder="1" applyFont="1">
      <alignment horizontal="left" shrinkToFit="0" vertical="top" wrapText="1"/>
    </xf>
    <xf borderId="2" fillId="5" fontId="5" numFmtId="0" xfId="0" applyAlignment="1" applyBorder="1" applyFont="1">
      <alignment horizontal="left" vertical="top"/>
    </xf>
    <xf borderId="3" fillId="4" fontId="5" numFmtId="0" xfId="0" applyAlignment="1" applyBorder="1" applyFont="1">
      <alignment horizontal="center"/>
    </xf>
    <xf borderId="1" fillId="2" fontId="1" numFmtId="0" xfId="0" applyAlignment="1" applyBorder="1" applyFont="1">
      <alignment horizontal="left" shrinkToFit="0" vertical="top" wrapText="1"/>
    </xf>
    <xf borderId="1" fillId="2" fontId="1" numFmtId="0" xfId="0" applyAlignment="1" applyBorder="1" applyFont="1">
      <alignment shrinkToFit="0" vertical="top" wrapText="1"/>
    </xf>
    <xf borderId="1" fillId="2" fontId="1" numFmtId="0" xfId="0" applyAlignment="1" applyBorder="1" applyFont="1">
      <alignment vertical="top"/>
    </xf>
    <xf borderId="14" fillId="0" fontId="1" numFmtId="0" xfId="0" applyBorder="1" applyFont="1"/>
    <xf borderId="42" fillId="6" fontId="12" numFmtId="0" xfId="0" applyAlignment="1" applyBorder="1" applyFont="1">
      <alignment horizontal="center"/>
    </xf>
    <xf borderId="43" fillId="0" fontId="7" numFmtId="0" xfId="0" applyBorder="1" applyFont="1"/>
    <xf borderId="44" fillId="4" fontId="1" numFmtId="0" xfId="0" applyAlignment="1" applyBorder="1" applyFont="1">
      <alignment horizontal="left" shrinkToFit="0" vertical="top" wrapText="1"/>
    </xf>
    <xf borderId="26" fillId="5" fontId="1" numFmtId="0" xfId="0" applyAlignment="1" applyBorder="1" applyFont="1">
      <alignment horizontal="left" shrinkToFit="0" vertical="top" wrapText="1"/>
    </xf>
    <xf borderId="45" fillId="0" fontId="7" numFmtId="0" xfId="0" applyBorder="1" applyFont="1"/>
    <xf borderId="46" fillId="0" fontId="1" numFmtId="0" xfId="0" applyBorder="1" applyFont="1"/>
    <xf borderId="47" fillId="0" fontId="3" numFmtId="0" xfId="0" applyAlignment="1" applyBorder="1" applyFont="1">
      <alignment horizontal="center"/>
    </xf>
    <xf borderId="48" fillId="0" fontId="7" numFmtId="0" xfId="0" applyBorder="1" applyFont="1"/>
    <xf borderId="49" fillId="0" fontId="7" numFmtId="0" xfId="0" applyBorder="1" applyFont="1"/>
    <xf borderId="50" fillId="0" fontId="1" numFmtId="0" xfId="0" applyBorder="1" applyFont="1"/>
    <xf borderId="51" fillId="6" fontId="12" numFmtId="0" xfId="0" applyAlignment="1" applyBorder="1" applyFont="1">
      <alignment horizontal="center"/>
    </xf>
    <xf borderId="52" fillId="0" fontId="7" numFmtId="0" xfId="0" applyBorder="1" applyFont="1"/>
    <xf borderId="53" fillId="4" fontId="5" numFmtId="0" xfId="0" applyAlignment="1" applyBorder="1" applyFont="1">
      <alignment horizontal="left" shrinkToFit="0" vertical="top" wrapText="1"/>
    </xf>
    <xf borderId="16" fillId="0" fontId="1" numFmtId="0" xfId="0" applyBorder="1" applyFont="1"/>
    <xf borderId="39" fillId="0" fontId="3" numFmtId="0" xfId="0" applyAlignment="1" applyBorder="1" applyFont="1">
      <alignment horizontal="center"/>
    </xf>
    <xf borderId="54" fillId="0" fontId="7" numFmtId="0" xfId="0" applyBorder="1" applyFont="1"/>
    <xf borderId="0" fillId="0" fontId="14" numFmtId="0" xfId="0" applyAlignment="1" applyFont="1">
      <alignment horizontal="center"/>
    </xf>
    <xf borderId="0" fillId="0" fontId="5" numFmtId="0" xfId="0" applyAlignment="1" applyFont="1">
      <alignment horizontal="center" vertical="center"/>
    </xf>
    <xf borderId="0" fillId="0" fontId="15" numFmtId="0" xfId="0" applyAlignment="1" applyFont="1">
      <alignment horizontal="left" shrinkToFit="0" vertical="top" wrapText="1"/>
    </xf>
    <xf borderId="55" fillId="0" fontId="7" numFmtId="0" xfId="0" applyBorder="1" applyFont="1"/>
    <xf borderId="3" fillId="5" fontId="5" numFmtId="0" xfId="0" applyAlignment="1" applyBorder="1" applyFont="1">
      <alignment horizontal="center"/>
    </xf>
    <xf borderId="0" fillId="0" fontId="15" numFmtId="0" xfId="0" applyAlignment="1" applyFont="1">
      <alignment shrinkToFit="0" wrapText="1"/>
    </xf>
    <xf borderId="0" fillId="0" fontId="1" numFmtId="0" xfId="0" applyAlignment="1" applyFont="1">
      <alignment horizontal="center" shrinkToFit="0" vertical="center" wrapText="1"/>
    </xf>
    <xf borderId="0" fillId="0" fontId="1" numFmtId="0" xfId="0" applyAlignment="1" applyFont="1">
      <alignment horizontal="left" shrinkToFit="0" vertical="center" wrapText="1"/>
    </xf>
    <xf borderId="41" fillId="0" fontId="5" numFmtId="0" xfId="0" applyAlignment="1" applyBorder="1" applyFont="1">
      <alignment horizontal="center" shrinkToFit="0" wrapText="1"/>
    </xf>
    <xf borderId="36" fillId="0" fontId="5" numFmtId="0" xfId="0" applyAlignment="1" applyBorder="1" applyFont="1">
      <alignment horizontal="center"/>
    </xf>
    <xf borderId="36" fillId="0" fontId="5" numFmtId="0" xfId="0" applyAlignment="1" applyBorder="1" applyFont="1">
      <alignment horizontal="center" shrinkToFit="0" wrapText="1"/>
    </xf>
    <xf borderId="0" fillId="0" fontId="5" numFmtId="0" xfId="0" applyAlignment="1" applyFont="1">
      <alignment horizontal="center" shrinkToFit="0" wrapText="1"/>
    </xf>
    <xf borderId="0" fillId="0" fontId="5" numFmtId="0" xfId="0" applyAlignment="1" applyFont="1">
      <alignment horizontal="center"/>
    </xf>
    <xf borderId="46" fillId="0" fontId="1" numFmtId="0" xfId="0" applyAlignment="1" applyBorder="1" applyFont="1">
      <alignment horizontal="center" shrinkToFit="0" vertical="center" wrapText="1"/>
    </xf>
    <xf quotePrefix="1" borderId="56" fillId="0" fontId="1" numFmtId="0" xfId="0" applyAlignment="1" applyBorder="1" applyFont="1">
      <alignment horizontal="center" shrinkToFit="0" vertical="center" wrapText="1"/>
    </xf>
    <xf borderId="57" fillId="0" fontId="3" numFmtId="0" xfId="0" applyAlignment="1" applyBorder="1" applyFont="1">
      <alignment horizontal="center" shrinkToFit="0" vertical="center" wrapText="1"/>
    </xf>
    <xf borderId="56" fillId="0" fontId="1" numFmtId="0" xfId="0" applyAlignment="1" applyBorder="1" applyFont="1">
      <alignment horizontal="center" shrinkToFit="0" vertical="center" wrapText="1"/>
    </xf>
    <xf borderId="56" fillId="0" fontId="1" numFmtId="0" xfId="0" applyAlignment="1" applyBorder="1" applyFont="1">
      <alignment horizontal="left" shrinkToFit="0" vertical="top" wrapText="1"/>
    </xf>
    <xf borderId="58" fillId="0" fontId="1" numFmtId="0" xfId="0" applyAlignment="1" applyBorder="1" applyFont="1">
      <alignment horizontal="center" shrinkToFit="0" vertical="center" wrapText="1"/>
    </xf>
    <xf borderId="59" fillId="0" fontId="1" numFmtId="0" xfId="0" applyAlignment="1" applyBorder="1" applyFont="1">
      <alignment horizontal="center" shrinkToFit="0" vertical="center" wrapText="1"/>
    </xf>
    <xf borderId="16" fillId="0" fontId="1" numFmtId="0" xfId="0" applyAlignment="1" applyBorder="1" applyFont="1">
      <alignment horizontal="center" shrinkToFit="0" vertical="center" wrapText="1"/>
    </xf>
    <xf quotePrefix="1" borderId="2" fillId="0" fontId="1" numFmtId="0" xfId="0" applyAlignment="1" applyBorder="1" applyFont="1">
      <alignment horizontal="center" vertical="center"/>
    </xf>
    <xf borderId="2" fillId="2" fontId="3" numFmtId="0" xfId="0" applyAlignment="1" applyBorder="1" applyFont="1">
      <alignment horizontal="center" shrinkToFit="0" vertical="center" wrapText="1"/>
    </xf>
    <xf borderId="38" fillId="0" fontId="1" numFmtId="0" xfId="0" applyAlignment="1" applyBorder="1" applyFont="1">
      <alignment horizontal="center" shrinkToFit="0" vertical="center" wrapText="1"/>
    </xf>
    <xf borderId="38" fillId="0" fontId="1" numFmtId="0" xfId="0" applyAlignment="1" applyBorder="1" applyFont="1">
      <alignment horizontal="left" shrinkToFit="0" vertical="top" wrapText="1"/>
    </xf>
    <xf borderId="18" fillId="0" fontId="1" numFmtId="0" xfId="0" applyAlignment="1" applyBorder="1" applyFont="1">
      <alignment horizontal="center" shrinkToFit="0" vertical="center" wrapText="1"/>
    </xf>
    <xf borderId="2" fillId="6" fontId="12" numFmtId="0" xfId="0" applyAlignment="1" applyBorder="1" applyFont="1">
      <alignment horizontal="center" shrinkToFit="0" vertical="center" wrapText="1"/>
    </xf>
    <xf borderId="2" fillId="0" fontId="1" numFmtId="0" xfId="0" applyAlignment="1" applyBorder="1" applyFont="1">
      <alignment horizontal="center" vertical="center"/>
    </xf>
    <xf borderId="2" fillId="0" fontId="1" numFmtId="0" xfId="0" applyAlignment="1" applyBorder="1" applyFont="1">
      <alignment shrinkToFit="0" vertical="center" wrapText="1"/>
    </xf>
    <xf borderId="2" fillId="0" fontId="1" numFmtId="0" xfId="0" applyAlignment="1" applyBorder="1" applyFont="1">
      <alignment horizontal="center" shrinkToFit="0" vertical="center" wrapText="1"/>
    </xf>
    <xf borderId="60" fillId="6" fontId="12" numFmtId="0" xfId="0" applyAlignment="1" applyBorder="1" applyFont="1">
      <alignment horizontal="center" shrinkToFit="0" vertical="center" wrapText="1"/>
    </xf>
    <xf borderId="1" fillId="2" fontId="1" numFmtId="0" xfId="0" applyAlignment="1" applyBorder="1" applyFont="1">
      <alignment horizontal="center" vertical="center"/>
    </xf>
    <xf borderId="50" fillId="0" fontId="1" numFmtId="0" xfId="0" applyAlignment="1" applyBorder="1" applyFont="1">
      <alignment horizontal="center" shrinkToFit="0" vertical="center" wrapText="1"/>
    </xf>
    <xf borderId="61" fillId="0" fontId="1" numFmtId="0" xfId="0" applyAlignment="1" applyBorder="1" applyFont="1">
      <alignment horizontal="center" shrinkToFit="0" vertical="center" wrapText="1"/>
    </xf>
    <xf borderId="62" fillId="6" fontId="12" numFmtId="0" xfId="0" applyAlignment="1" applyBorder="1" applyFont="1">
      <alignment horizontal="center" shrinkToFit="0" vertical="center" wrapText="1"/>
    </xf>
    <xf borderId="61" fillId="0" fontId="1" numFmtId="0" xfId="0" applyAlignment="1" applyBorder="1" applyFont="1">
      <alignment horizontal="center" vertical="center"/>
    </xf>
    <xf borderId="61" fillId="0" fontId="1" numFmtId="0" xfId="0" applyAlignment="1" applyBorder="1" applyFont="1">
      <alignment shrinkToFit="0" vertical="center" wrapText="1"/>
    </xf>
    <xf borderId="63" fillId="0" fontId="7" numFmtId="0" xfId="0" applyBorder="1" applyFont="1"/>
    <xf borderId="0" fillId="0" fontId="12" numFmtId="0" xfId="0" applyAlignment="1" applyFont="1">
      <alignment horizontal="center" shrinkToFit="0" vertical="center" wrapText="1"/>
    </xf>
    <xf borderId="0" fillId="0" fontId="1" numFmtId="0" xfId="0" applyAlignment="1" applyFont="1">
      <alignment horizontal="center" vertical="center"/>
    </xf>
    <xf borderId="0" fillId="0" fontId="1" numFmtId="0" xfId="0" applyAlignment="1" applyFont="1">
      <alignment shrinkToFit="0" vertical="center" wrapText="1"/>
    </xf>
    <xf borderId="64" fillId="0" fontId="1" numFmtId="0" xfId="0" applyAlignment="1" applyBorder="1" applyFont="1">
      <alignment horizontal="center" shrinkToFit="0" vertical="center" wrapText="1"/>
    </xf>
    <xf quotePrefix="1" borderId="65" fillId="0" fontId="1" numFmtId="0" xfId="0" applyAlignment="1" applyBorder="1" applyFont="1">
      <alignment horizontal="center" shrinkToFit="0" vertical="center" wrapText="1"/>
    </xf>
    <xf borderId="65" fillId="0" fontId="3" numFmtId="0" xfId="0" applyAlignment="1" applyBorder="1" applyFont="1">
      <alignment horizontal="center" shrinkToFit="0" vertical="center" wrapText="1"/>
    </xf>
    <xf borderId="65" fillId="0" fontId="1" numFmtId="0" xfId="0" applyAlignment="1" applyBorder="1" applyFont="1">
      <alignment horizontal="center" vertical="center"/>
    </xf>
    <xf borderId="65" fillId="0" fontId="1" numFmtId="0" xfId="0" applyAlignment="1" applyBorder="1" applyFont="1">
      <alignment shrinkToFit="0" vertical="center" wrapText="1"/>
    </xf>
    <xf borderId="65" fillId="0" fontId="1" numFmtId="0" xfId="0" applyAlignment="1" applyBorder="1" applyFont="1">
      <alignment horizontal="center" shrinkToFit="0" vertical="center" wrapText="1"/>
    </xf>
    <xf borderId="66" fillId="0" fontId="1" numFmtId="0" xfId="0" applyAlignment="1" applyBorder="1" applyFont="1">
      <alignment horizontal="center" shrinkToFit="0" vertical="center" wrapText="1"/>
    </xf>
    <xf borderId="0" fillId="0" fontId="1" numFmtId="0" xfId="0" applyAlignment="1" applyFont="1">
      <alignment shrinkToFit="0" wrapText="1"/>
    </xf>
    <xf borderId="36" fillId="0" fontId="5" numFmtId="0" xfId="0" applyAlignment="1" applyBorder="1" applyFont="1">
      <alignment horizontal="center" shrinkToFit="0" vertical="center" wrapText="1"/>
    </xf>
    <xf borderId="67" fillId="0" fontId="7" numFmtId="0" xfId="0" applyBorder="1" applyFont="1"/>
    <xf borderId="56" fillId="0" fontId="1" numFmtId="0" xfId="0" applyAlignment="1" applyBorder="1" applyFont="1">
      <alignment horizontal="center" vertical="center"/>
    </xf>
    <xf borderId="56" fillId="0" fontId="1" numFmtId="0" xfId="0" applyAlignment="1" applyBorder="1" applyFont="1">
      <alignment shrinkToFit="0" vertical="center" wrapText="1"/>
    </xf>
    <xf borderId="58" fillId="0" fontId="1" numFmtId="0" xfId="0" applyAlignment="1" applyBorder="1" applyFont="1">
      <alignment horizontal="center" vertical="center"/>
    </xf>
    <xf borderId="68" fillId="0" fontId="1" numFmtId="0" xfId="0" applyAlignment="1" applyBorder="1" applyFont="1">
      <alignment horizontal="center" vertical="center"/>
    </xf>
    <xf borderId="69" fillId="6" fontId="12" numFmtId="0" xfId="0" applyAlignment="1" applyBorder="1" applyFont="1">
      <alignment horizontal="center" vertical="center"/>
    </xf>
    <xf borderId="0" fillId="0" fontId="1" numFmtId="0" xfId="0" applyAlignment="1" applyFont="1">
      <alignment horizontal="center" shrinkToFit="0" wrapText="1"/>
    </xf>
    <xf borderId="0" fillId="0" fontId="1" numFmtId="0" xfId="0" applyAlignment="1" applyFont="1">
      <alignment horizontal="center"/>
    </xf>
    <xf borderId="70" fillId="6" fontId="12" numFmtId="0" xfId="0" applyAlignment="1" applyBorder="1" applyFont="1">
      <alignment horizontal="center" shrinkToFit="0" vertical="center" wrapText="1"/>
    </xf>
    <xf borderId="14" fillId="0" fontId="1" numFmtId="0" xfId="0" applyAlignment="1" applyBorder="1" applyFont="1">
      <alignment horizontal="center" shrinkToFit="0" vertical="center" wrapText="1"/>
    </xf>
    <xf borderId="25" fillId="0" fontId="1" numFmtId="0" xfId="0" applyAlignment="1" applyBorder="1" applyFont="1">
      <alignment shrinkToFit="0" vertical="center" wrapText="1"/>
    </xf>
    <xf borderId="71" fillId="0" fontId="7" numFmtId="0" xfId="0" applyBorder="1" applyFont="1"/>
    <xf borderId="1" fillId="2" fontId="1" numFmtId="0" xfId="0" applyAlignment="1" applyBorder="1" applyFont="1">
      <alignment horizontal="center" shrinkToFit="0" vertical="center" wrapText="1"/>
    </xf>
    <xf borderId="1" fillId="2" fontId="12" numFmtId="0" xfId="0" applyAlignment="1" applyBorder="1" applyFont="1">
      <alignment horizontal="center" shrinkToFit="0" vertical="center" wrapText="1"/>
    </xf>
    <xf borderId="1" fillId="2" fontId="1" numFmtId="0" xfId="0" applyAlignment="1" applyBorder="1" applyFont="1">
      <alignment shrinkToFit="0" vertical="center" wrapText="1"/>
    </xf>
    <xf borderId="72" fillId="6" fontId="12" numFmtId="0" xfId="0" applyAlignment="1" applyBorder="1" applyFont="1">
      <alignment horizontal="center" shrinkToFit="0" vertical="center" wrapText="1"/>
    </xf>
    <xf borderId="56" fillId="0" fontId="15" numFmtId="0" xfId="0" applyAlignment="1" applyBorder="1" applyFont="1">
      <alignment shrinkToFit="0" vertical="center" wrapText="1"/>
    </xf>
    <xf borderId="2" fillId="0" fontId="15" numFmtId="0" xfId="0" applyAlignment="1" applyBorder="1" applyFont="1">
      <alignment shrinkToFit="0" vertical="center" wrapText="1"/>
    </xf>
    <xf borderId="69" fillId="6" fontId="12" numFmtId="0" xfId="0" applyAlignment="1" applyBorder="1" applyFont="1">
      <alignment horizontal="center" shrinkToFit="0" vertical="center" wrapText="1"/>
    </xf>
    <xf borderId="61" fillId="0" fontId="15" numFmtId="0" xfId="0" applyAlignment="1" applyBorder="1" applyFont="1">
      <alignment shrinkToFit="0" vertical="center" wrapText="1"/>
    </xf>
    <xf borderId="56" fillId="6" fontId="12" numFmtId="0" xfId="0" applyAlignment="1" applyBorder="1" applyFont="1">
      <alignment horizontal="center" shrinkToFit="0" vertical="center" wrapText="1"/>
    </xf>
    <xf borderId="72" fillId="6" fontId="12" numFmtId="0" xfId="0" applyAlignment="1" applyBorder="1" applyFont="1">
      <alignment horizontal="center" readingOrder="0" vertical="center"/>
    </xf>
    <xf quotePrefix="1" borderId="2" fillId="0" fontId="1" numFmtId="0" xfId="0" applyAlignment="1" applyBorder="1" applyFont="1">
      <alignment horizontal="center" shrinkToFit="0" vertical="center" wrapText="1"/>
    </xf>
    <xf borderId="60" fillId="6" fontId="12" numFmtId="0" xfId="0" applyAlignment="1" applyBorder="1" applyFont="1">
      <alignment horizontal="center" vertical="center"/>
    </xf>
    <xf borderId="73" fillId="6" fontId="12" numFmtId="0" xfId="0" applyAlignment="1" applyBorder="1" applyFont="1">
      <alignment horizontal="center" shrinkToFit="0" vertical="center" wrapText="1"/>
    </xf>
    <xf quotePrefix="1" borderId="61" fillId="0" fontId="1" numFmtId="0" xfId="0" applyAlignment="1" applyBorder="1" applyFont="1">
      <alignment horizontal="center" shrinkToFit="0" vertical="center" wrapText="1"/>
    </xf>
    <xf borderId="25" fillId="0" fontId="1" numFmtId="0" xfId="0" applyAlignment="1" applyBorder="1" applyFont="1">
      <alignment horizontal="center" shrinkToFit="0" vertical="center" wrapText="1"/>
    </xf>
    <xf borderId="74" fillId="6" fontId="12" numFmtId="0" xfId="0" applyAlignment="1" applyBorder="1" applyFont="1">
      <alignment horizontal="center" shrinkToFit="0" vertical="center" wrapText="1"/>
    </xf>
    <xf borderId="25" fillId="0" fontId="1" numFmtId="0" xfId="0" applyAlignment="1" applyBorder="1" applyFont="1">
      <alignment horizontal="center" vertical="center"/>
    </xf>
    <xf borderId="56" fillId="6" fontId="12" numFmtId="0" xfId="0" applyAlignment="1" applyBorder="1" applyFont="1">
      <alignment horizontal="center" vertical="center"/>
    </xf>
    <xf borderId="61" fillId="6" fontId="12" numFmtId="0" xfId="0" applyAlignment="1" applyBorder="1" applyFont="1">
      <alignment horizontal="center" shrinkToFit="0" vertical="center" wrapText="1"/>
    </xf>
    <xf borderId="56" fillId="0" fontId="1" numFmtId="0" xfId="0" applyAlignment="1" applyBorder="1" applyFont="1">
      <alignment shrinkToFit="0" wrapText="1"/>
    </xf>
    <xf borderId="75" fillId="0" fontId="1" numFmtId="0" xfId="0" applyAlignment="1" applyBorder="1" applyFont="1">
      <alignment horizontal="center" vertical="center"/>
    </xf>
    <xf borderId="25" fillId="2" fontId="1" numFmtId="0" xfId="0" applyAlignment="1" applyBorder="1" applyFont="1">
      <alignment horizontal="center" shrinkToFit="0" vertical="center" wrapText="1"/>
    </xf>
    <xf borderId="2" fillId="0" fontId="1" numFmtId="0" xfId="0" applyAlignment="1" applyBorder="1" applyFont="1">
      <alignment shrinkToFit="0" wrapText="1"/>
    </xf>
    <xf borderId="2" fillId="5" fontId="1" numFmtId="0" xfId="0" applyAlignment="1" applyBorder="1" applyFont="1">
      <alignment horizontal="center" shrinkToFit="0" vertical="center" wrapText="1"/>
    </xf>
    <xf borderId="61" fillId="5" fontId="1" numFmtId="0" xfId="0" applyAlignment="1" applyBorder="1" applyFont="1">
      <alignment horizontal="center" shrinkToFit="0" vertical="center" wrapText="1"/>
    </xf>
    <xf borderId="61" fillId="0" fontId="1" numFmtId="0" xfId="0" applyAlignment="1" applyBorder="1" applyFont="1">
      <alignment shrinkToFit="0" wrapText="1"/>
    </xf>
    <xf borderId="76" fillId="0" fontId="7" numFmtId="0" xfId="0" applyBorder="1" applyFont="1"/>
    <xf borderId="56" fillId="5" fontId="1" numFmtId="0" xfId="0" applyAlignment="1" applyBorder="1" applyFont="1">
      <alignment horizontal="center" shrinkToFit="0" vertical="center" wrapText="1"/>
    </xf>
    <xf borderId="56" fillId="0" fontId="1" numFmtId="0" xfId="0" applyAlignment="1" applyBorder="1" applyFont="1">
      <alignment horizontal="left" shrinkToFit="0" vertical="center" wrapText="1"/>
    </xf>
    <xf borderId="1" fillId="2" fontId="1" numFmtId="0" xfId="0" applyAlignment="1" applyBorder="1" applyFont="1">
      <alignment vertical="center"/>
    </xf>
    <xf borderId="61" fillId="0" fontId="1" numFmtId="0" xfId="0" applyAlignment="1" applyBorder="1" applyFont="1">
      <alignment horizontal="left" shrinkToFit="0" vertical="center" wrapText="1"/>
    </xf>
    <xf borderId="77" fillId="0" fontId="1" numFmtId="0" xfId="0" applyAlignment="1" applyBorder="1" applyFont="1">
      <alignment horizontal="center" vertical="center"/>
    </xf>
    <xf borderId="1" fillId="2" fontId="1" numFmtId="0" xfId="0" applyAlignment="1" applyBorder="1" applyFont="1">
      <alignment horizontal="left" vertical="center"/>
    </xf>
    <xf borderId="78" fillId="0" fontId="7" numFmtId="0" xfId="0" applyBorder="1" applyFont="1"/>
    <xf borderId="79" fillId="2" fontId="1" numFmtId="0" xfId="0" applyAlignment="1" applyBorder="1" applyFont="1">
      <alignment shrinkToFit="0" vertical="center" wrapText="1"/>
    </xf>
    <xf borderId="80" fillId="0" fontId="7" numFmtId="0" xfId="0" applyBorder="1" applyFont="1"/>
    <xf borderId="81" fillId="2" fontId="1" numFmtId="0" xfId="0" applyAlignment="1" applyBorder="1" applyFont="1">
      <alignment shrinkToFit="0" vertical="center" wrapText="1"/>
    </xf>
    <xf borderId="36" fillId="8" fontId="5" numFmtId="0" xfId="0" applyAlignment="1" applyBorder="1" applyFill="1" applyFont="1">
      <alignment horizontal="center"/>
    </xf>
    <xf borderId="2" fillId="0" fontId="1" numFmtId="0" xfId="0" applyAlignment="1" applyBorder="1" applyFont="1">
      <alignment horizontal="left" shrinkToFit="0" vertical="center" wrapText="1"/>
    </xf>
    <xf borderId="56" fillId="6" fontId="16" numFmtId="0" xfId="0" applyAlignment="1" applyBorder="1" applyFont="1">
      <alignment horizontal="center" shrinkToFit="0" vertical="center" wrapText="1"/>
    </xf>
    <xf borderId="73" fillId="5" fontId="1" numFmtId="0" xfId="0" applyAlignment="1" applyBorder="1" applyFont="1">
      <alignment horizontal="center" shrinkToFit="0" vertical="center" wrapText="1"/>
    </xf>
    <xf borderId="38" fillId="0" fontId="1" numFmtId="0" xfId="0" applyAlignment="1" applyBorder="1" applyFont="1">
      <alignment horizontal="center" vertical="center"/>
    </xf>
    <xf borderId="38" fillId="0" fontId="1" numFmtId="0" xfId="0" applyAlignment="1" applyBorder="1" applyFont="1">
      <alignment shrinkToFit="0" vertical="center" wrapText="1"/>
    </xf>
    <xf borderId="1" fillId="2" fontId="17" numFmtId="0" xfId="0" applyBorder="1" applyFont="1"/>
    <xf borderId="0" fillId="0" fontId="16" numFmtId="0" xfId="0" applyAlignment="1" applyFont="1">
      <alignment horizontal="center" shrinkToFit="0" vertical="center" wrapText="1"/>
    </xf>
    <xf borderId="82" fillId="0" fontId="5" numFmtId="0" xfId="0" applyAlignment="1" applyBorder="1" applyFont="1">
      <alignment horizontal="center" shrinkToFit="0" wrapText="1"/>
    </xf>
    <xf borderId="83" fillId="0" fontId="5" numFmtId="0" xfId="0" applyAlignment="1" applyBorder="1" applyFont="1">
      <alignment horizontal="center" shrinkToFit="0" wrapText="1"/>
    </xf>
    <xf borderId="84" fillId="0" fontId="5" numFmtId="0" xfId="0" applyAlignment="1" applyBorder="1" applyFont="1">
      <alignment horizontal="center" shrinkToFit="0" wrapText="1"/>
    </xf>
    <xf borderId="85" fillId="0" fontId="5" numFmtId="0" xfId="0" applyAlignment="1" applyBorder="1" applyFont="1">
      <alignment horizontal="center" shrinkToFit="0" wrapText="1"/>
    </xf>
    <xf borderId="84" fillId="0" fontId="5" numFmtId="0" xfId="0" applyAlignment="1" applyBorder="1" applyFont="1">
      <alignment horizontal="center"/>
    </xf>
    <xf borderId="59" fillId="0" fontId="5" numFmtId="0" xfId="0" applyAlignment="1" applyBorder="1" applyFont="1">
      <alignment horizontal="center" shrinkToFit="0" wrapText="1"/>
    </xf>
    <xf borderId="72" fillId="6" fontId="12" numFmtId="0" xfId="0" applyAlignment="1" applyBorder="1" applyFont="1">
      <alignment horizontal="center" vertical="center"/>
    </xf>
    <xf borderId="2" fillId="6" fontId="16" numFmtId="0" xfId="0" applyAlignment="1" applyBorder="1" applyFont="1">
      <alignment horizontal="center" shrinkToFit="0" vertical="center" wrapText="1"/>
    </xf>
    <xf borderId="1" fillId="2" fontId="18" numFmtId="0" xfId="0" applyAlignment="1" applyBorder="1" applyFont="1">
      <alignment horizontal="left" shrinkToFit="0" vertical="center" wrapText="1"/>
    </xf>
    <xf borderId="2" fillId="2" fontId="1" numFmtId="0" xfId="0" applyAlignment="1" applyBorder="1" applyFont="1">
      <alignment horizontal="center" vertical="center"/>
    </xf>
    <xf borderId="1" fillId="2" fontId="18" numFmtId="0" xfId="0" applyAlignment="1" applyBorder="1" applyFont="1">
      <alignment shrinkToFit="0" vertical="center" wrapText="1"/>
    </xf>
    <xf borderId="86" fillId="6" fontId="12" numFmtId="0" xfId="0" applyAlignment="1" applyBorder="1" applyFont="1">
      <alignment horizontal="center" shrinkToFit="0" vertical="center" wrapText="1"/>
    </xf>
    <xf borderId="87" fillId="0" fontId="1" numFmtId="0" xfId="0" applyAlignment="1" applyBorder="1" applyFont="1">
      <alignment horizontal="center" shrinkToFit="0" vertical="center" wrapText="1"/>
    </xf>
    <xf borderId="29" fillId="0" fontId="1" numFmtId="0" xfId="0" applyAlignment="1" applyBorder="1" applyFont="1">
      <alignment horizontal="center" vertical="center"/>
    </xf>
    <xf borderId="29" fillId="0" fontId="1" numFmtId="0" xfId="0" applyAlignment="1" applyBorder="1" applyFont="1">
      <alignment shrinkToFit="0" vertical="center" wrapText="1"/>
    </xf>
    <xf quotePrefix="1" borderId="61" fillId="0" fontId="1" numFmtId="0" xfId="0" applyAlignment="1" applyBorder="1" applyFont="1">
      <alignment horizontal="center" vertical="center"/>
    </xf>
    <xf borderId="1" fillId="2" fontId="18" numFmtId="0" xfId="0" applyAlignment="1" applyBorder="1" applyFont="1">
      <alignment shrinkToFit="0" wrapText="1"/>
    </xf>
    <xf quotePrefix="1" borderId="61" fillId="2" fontId="3" numFmtId="0" xfId="0" applyAlignment="1" applyBorder="1" applyFont="1">
      <alignment horizontal="center" shrinkToFit="0" vertical="center" wrapText="1"/>
    </xf>
    <xf borderId="61" fillId="2" fontId="3" numFmtId="0" xfId="0" applyAlignment="1" applyBorder="1" applyFont="1">
      <alignment horizontal="center" shrinkToFit="0" vertical="center" wrapText="1"/>
    </xf>
    <xf borderId="1" fillId="2" fontId="3" numFmtId="0" xfId="0" applyAlignment="1" applyBorder="1" applyFont="1">
      <alignment horizontal="center" shrinkToFit="0" vertical="center" wrapText="1"/>
    </xf>
    <xf borderId="2" fillId="0" fontId="3" numFmtId="0" xfId="0" applyAlignment="1" applyBorder="1" applyFont="1">
      <alignment horizontal="center" shrinkToFit="0" vertical="center" wrapText="1"/>
    </xf>
    <xf borderId="61" fillId="0" fontId="3" numFmtId="0" xfId="0" applyAlignment="1" applyBorder="1" applyFont="1">
      <alignment horizontal="center" shrinkToFit="0" vertical="center" wrapText="1"/>
    </xf>
    <xf borderId="88" fillId="6" fontId="12" numFmtId="0" xfId="0" applyAlignment="1" applyBorder="1" applyFont="1">
      <alignment horizontal="center" vertical="center"/>
    </xf>
    <xf borderId="65" fillId="6" fontId="12" numFmtId="0" xfId="0" applyAlignment="1" applyBorder="1" applyFont="1">
      <alignment horizontal="center" shrinkToFit="0" vertical="center" wrapText="1"/>
    </xf>
    <xf borderId="66" fillId="0" fontId="1" numFmtId="0" xfId="0" applyAlignment="1" applyBorder="1" applyFont="1">
      <alignment horizontal="center" vertical="center"/>
    </xf>
    <xf borderId="0" fillId="0" fontId="12" numFmtId="0" xfId="0" applyAlignment="1" applyFont="1">
      <alignment horizontal="center" vertical="center"/>
    </xf>
    <xf borderId="0" fillId="0" fontId="18" numFmtId="0" xfId="0" applyAlignment="1" applyFont="1">
      <alignment shrinkToFit="0" vertical="center" wrapText="1"/>
    </xf>
    <xf borderId="56" fillId="0" fontId="3" numFmtId="0" xfId="0" applyAlignment="1" applyBorder="1" applyFont="1">
      <alignment horizontal="center" vertical="center"/>
    </xf>
    <xf borderId="61" fillId="0" fontId="3" numFmtId="0" xfId="0" applyAlignment="1" applyBorder="1" applyFont="1">
      <alignment horizontal="center" vertical="center"/>
    </xf>
    <xf borderId="58" fillId="0" fontId="3" numFmtId="0" xfId="0" applyAlignment="1" applyBorder="1" applyFont="1">
      <alignment horizontal="center" shrinkToFit="0" vertical="center" wrapText="1"/>
    </xf>
    <xf quotePrefix="1" borderId="25" fillId="0" fontId="1" numFmtId="0" xfId="0" applyAlignment="1" applyBorder="1" applyFont="1">
      <alignment horizontal="center" shrinkToFit="0" vertical="center" wrapText="1"/>
    </xf>
    <xf borderId="25" fillId="0" fontId="3" numFmtId="0" xfId="0" applyAlignment="1" applyBorder="1" applyFont="1">
      <alignment horizontal="center" shrinkToFit="0" vertical="center" wrapText="1"/>
    </xf>
    <xf borderId="25" fillId="0" fontId="1" numFmtId="0" xfId="0" applyAlignment="1" applyBorder="1" applyFont="1">
      <alignment shrinkToFit="0" wrapText="1"/>
    </xf>
    <xf borderId="89" fillId="6" fontId="12" numFmtId="0" xfId="0" applyAlignment="1" applyBorder="1" applyFont="1">
      <alignment horizontal="center" shrinkToFit="0" vertical="center" wrapText="1"/>
    </xf>
    <xf borderId="2" fillId="7" fontId="1" numFmtId="0" xfId="0" applyAlignment="1" applyBorder="1" applyFont="1">
      <alignment horizontal="center" shrinkToFit="0" vertical="center" wrapText="1"/>
    </xf>
    <xf borderId="90" fillId="6" fontId="12" numFmtId="0" xfId="0" applyAlignment="1" applyBorder="1" applyFont="1">
      <alignment horizontal="center" shrinkToFit="0" vertical="center" wrapText="1"/>
    </xf>
    <xf borderId="65" fillId="0" fontId="1" numFmtId="0" xfId="0" applyAlignment="1" applyBorder="1" applyFont="1">
      <alignment shrinkToFit="0" wrapText="1"/>
    </xf>
    <xf borderId="56" fillId="0" fontId="3" numFmtId="0" xfId="0" applyAlignment="1" applyBorder="1" applyFont="1">
      <alignment horizontal="center" shrinkToFit="0" vertical="center" wrapText="1"/>
    </xf>
    <xf borderId="91" fillId="2" fontId="19" numFmtId="0" xfId="0" applyAlignment="1" applyBorder="1" applyFont="1">
      <alignment horizontal="left" shrinkToFit="0" vertical="center" wrapText="1"/>
    </xf>
    <xf borderId="92" fillId="0" fontId="7" numFmtId="0" xfId="0" applyBorder="1" applyFont="1"/>
    <xf borderId="93" fillId="0" fontId="7" numFmtId="0" xfId="0" applyBorder="1" applyFont="1"/>
    <xf borderId="36" fillId="0" fontId="5" numFmtId="0" xfId="0" applyAlignment="1" applyBorder="1" applyFont="1">
      <alignment shrinkToFit="0" wrapText="1"/>
    </xf>
    <xf borderId="94" fillId="0" fontId="1" numFmtId="0" xfId="0" applyAlignment="1" applyBorder="1" applyFont="1">
      <alignment horizontal="left" shrinkToFit="0" vertical="center" wrapText="1"/>
    </xf>
    <xf quotePrefix="1" borderId="58" fillId="0" fontId="1" numFmtId="0" xfId="0" applyAlignment="1" applyBorder="1" applyFont="1">
      <alignment horizontal="center" shrinkToFit="0" vertical="center" wrapText="1"/>
    </xf>
    <xf borderId="58" fillId="0" fontId="3" numFmtId="0" xfId="0" applyAlignment="1" applyBorder="1" applyFont="1">
      <alignment horizontal="center" vertical="center"/>
    </xf>
    <xf borderId="95" fillId="0" fontId="1" numFmtId="0" xfId="0" applyAlignment="1" applyBorder="1" applyFont="1">
      <alignment horizontal="left" shrinkToFit="0" wrapText="1"/>
    </xf>
    <xf borderId="94" fillId="0" fontId="1" numFmtId="0" xfId="0" applyAlignment="1" applyBorder="1" applyFont="1">
      <alignment horizontal="center" vertical="center"/>
    </xf>
    <xf borderId="18" fillId="0" fontId="1" numFmtId="0" xfId="0" applyAlignment="1" applyBorder="1" applyFont="1">
      <alignment horizontal="left" shrinkToFit="0" vertical="center" wrapText="1"/>
    </xf>
    <xf borderId="96" fillId="0" fontId="1" numFmtId="0" xfId="0" applyAlignment="1" applyBorder="1" applyFont="1">
      <alignment horizontal="left" shrinkToFit="0" wrapText="1"/>
    </xf>
    <xf borderId="87" fillId="0" fontId="7" numFmtId="0" xfId="0" applyBorder="1" applyFont="1"/>
    <xf borderId="96" fillId="0" fontId="1" numFmtId="0" xfId="0" applyAlignment="1" applyBorder="1" applyFont="1">
      <alignment horizontal="left" shrinkToFit="0" vertical="top" wrapText="1"/>
    </xf>
    <xf borderId="50" fillId="0" fontId="1" numFmtId="0" xfId="0" applyAlignment="1" applyBorder="1" applyFont="1">
      <alignment horizontal="left" shrinkToFit="0" vertical="center" wrapText="1"/>
    </xf>
    <xf borderId="97" fillId="0" fontId="1" numFmtId="0" xfId="0" applyAlignment="1" applyBorder="1" applyFont="1">
      <alignment horizontal="left" shrinkToFit="0" vertical="top" wrapText="1"/>
    </xf>
    <xf borderId="16" fillId="0" fontId="1" numFmtId="0" xfId="0" applyAlignment="1" applyBorder="1" applyFont="1">
      <alignment horizontal="left" shrinkToFit="0" vertical="center" wrapText="1"/>
    </xf>
    <xf quotePrefix="1" borderId="38" fillId="0" fontId="1" numFmtId="0" xfId="0" applyAlignment="1" applyBorder="1" applyFont="1">
      <alignment horizontal="center" shrinkToFit="0" vertical="center" wrapText="1"/>
    </xf>
    <xf borderId="73" fillId="2" fontId="3" numFmtId="0" xfId="0" applyAlignment="1" applyBorder="1" applyFont="1">
      <alignment horizontal="center" vertical="center"/>
    </xf>
    <xf borderId="17" fillId="0" fontId="1" numFmtId="0" xfId="0" applyAlignment="1" applyBorder="1" applyFont="1">
      <alignment horizontal="left" shrinkToFit="0" vertical="center" wrapText="1"/>
    </xf>
    <xf borderId="2" fillId="2" fontId="3" numFmtId="0" xfId="0" applyAlignment="1" applyBorder="1" applyFont="1">
      <alignment horizontal="center" vertical="center"/>
    </xf>
    <xf borderId="23" fillId="0" fontId="1" numFmtId="0" xfId="0" applyAlignment="1" applyBorder="1" applyFont="1">
      <alignment horizontal="left" shrinkToFit="0" vertical="center" wrapText="1"/>
    </xf>
    <xf borderId="63" fillId="0" fontId="1" numFmtId="0" xfId="0" applyAlignment="1" applyBorder="1" applyFont="1">
      <alignment horizontal="center" shrinkToFit="0" vertical="center" wrapText="1"/>
    </xf>
    <xf borderId="24" fillId="0" fontId="1" numFmtId="0" xfId="0" applyAlignment="1" applyBorder="1" applyFont="1">
      <alignment horizontal="left" shrinkToFit="0" vertical="center" wrapText="1"/>
    </xf>
    <xf borderId="98" fillId="2" fontId="1" numFmtId="0" xfId="0" applyAlignment="1" applyBorder="1" applyFont="1">
      <alignment horizontal="left" shrinkToFit="0" vertical="center" wrapText="1"/>
    </xf>
    <xf borderId="98" fillId="2" fontId="1" numFmtId="0" xfId="0" applyAlignment="1" applyBorder="1" applyFont="1">
      <alignment horizontal="center" shrinkToFit="0" vertical="center" wrapText="1"/>
    </xf>
    <xf borderId="98" fillId="2" fontId="3" numFmtId="0" xfId="0" applyAlignment="1" applyBorder="1" applyFont="1">
      <alignment horizontal="center" vertical="center"/>
    </xf>
    <xf borderId="98" fillId="2" fontId="1" numFmtId="0" xfId="0" applyAlignment="1" applyBorder="1" applyFont="1">
      <alignment horizontal="center" vertical="center"/>
    </xf>
    <xf borderId="46" fillId="0" fontId="1" numFmtId="0" xfId="0" applyAlignment="1" applyBorder="1" applyFont="1">
      <alignment horizontal="left" shrinkToFit="0" vertical="center" wrapText="1"/>
    </xf>
    <xf borderId="95" fillId="0" fontId="5" numFmtId="0" xfId="0" applyAlignment="1" applyBorder="1" applyFont="1">
      <alignment horizontal="left" shrinkToFit="0" wrapText="1"/>
    </xf>
    <xf borderId="96" fillId="0" fontId="5" numFmtId="0" xfId="0" applyAlignment="1" applyBorder="1" applyFont="1">
      <alignment horizontal="left" shrinkToFit="0" wrapText="1"/>
    </xf>
    <xf borderId="2" fillId="5" fontId="20" numFmtId="0" xfId="0" applyAlignment="1" applyBorder="1" applyFont="1">
      <alignment horizontal="center" readingOrder="0" vertical="center"/>
    </xf>
    <xf borderId="2" fillId="5" fontId="1" numFmtId="0" xfId="0" applyAlignment="1" applyBorder="1" applyFont="1">
      <alignment horizontal="center" vertical="center"/>
    </xf>
    <xf borderId="61" fillId="5" fontId="1" numFmtId="0" xfId="0" applyAlignment="1" applyBorder="1" applyFont="1">
      <alignment horizontal="center" vertical="center"/>
    </xf>
    <xf borderId="97" fillId="0" fontId="5" numFmtId="0" xfId="0" applyAlignment="1" applyBorder="1" applyFont="1">
      <alignment horizontal="left" shrinkToFit="0" wrapText="1"/>
    </xf>
    <xf borderId="16" fillId="0" fontId="5" numFmtId="0" xfId="0" applyAlignment="1" applyBorder="1" applyFont="1">
      <alignment horizontal="left" shrinkToFit="0" vertical="center" wrapText="1"/>
    </xf>
    <xf borderId="17" fillId="0" fontId="5" numFmtId="0" xfId="0" applyAlignment="1" applyBorder="1" applyFont="1">
      <alignment horizontal="left" shrinkToFit="0" wrapText="1"/>
    </xf>
    <xf borderId="18" fillId="0" fontId="5" numFmtId="0" xfId="0" applyAlignment="1" applyBorder="1" applyFont="1">
      <alignment horizontal="left" shrinkToFit="0" vertical="center" wrapText="1"/>
    </xf>
    <xf borderId="50" fillId="0" fontId="5" numFmtId="0" xfId="0" applyAlignment="1" applyBorder="1" applyFont="1">
      <alignment horizontal="left" shrinkToFit="0" vertical="center" wrapText="1"/>
    </xf>
    <xf borderId="46" fillId="2" fontId="1" numFmtId="0" xfId="0" applyBorder="1" applyFont="1"/>
    <xf borderId="56" fillId="5" fontId="1" numFmtId="0" xfId="0" applyAlignment="1" applyBorder="1" applyFont="1">
      <alignment horizontal="center" vertical="center"/>
    </xf>
    <xf borderId="56" fillId="0" fontId="5" numFmtId="0" xfId="0" applyAlignment="1" applyBorder="1" applyFont="1">
      <alignment horizontal="left" shrinkToFit="0" wrapText="1"/>
    </xf>
    <xf borderId="58" fillId="2" fontId="1" numFmtId="0" xfId="0" applyAlignment="1" applyBorder="1" applyFont="1">
      <alignment horizontal="center" vertical="center"/>
    </xf>
    <xf borderId="68" fillId="2" fontId="1" numFmtId="0" xfId="0" applyAlignment="1" applyBorder="1" applyFont="1">
      <alignment horizontal="center" vertical="center"/>
    </xf>
    <xf borderId="18" fillId="2" fontId="1" numFmtId="0" xfId="0" applyBorder="1" applyFont="1"/>
    <xf borderId="2" fillId="2" fontId="1" numFmtId="0" xfId="0" applyAlignment="1" applyBorder="1" applyFont="1">
      <alignment shrinkToFit="0" wrapText="1"/>
    </xf>
    <xf borderId="50" fillId="2" fontId="1" numFmtId="0" xfId="0" applyBorder="1" applyFont="1"/>
    <xf borderId="61" fillId="2" fontId="1" numFmtId="0" xfId="0" applyAlignment="1" applyBorder="1" applyFont="1">
      <alignment horizontal="center" vertical="center"/>
    </xf>
    <xf borderId="61" fillId="2" fontId="1" numFmtId="0" xfId="0" applyAlignment="1" applyBorder="1" applyFont="1">
      <alignment shrinkToFit="0" vertical="top" wrapText="1"/>
    </xf>
    <xf borderId="56" fillId="2" fontId="1" numFmtId="0" xfId="0" applyAlignment="1" applyBorder="1" applyFont="1">
      <alignment shrinkToFit="0" wrapText="1"/>
    </xf>
    <xf borderId="61" fillId="2" fontId="1" numFmtId="0" xfId="0" applyAlignment="1" applyBorder="1" applyFont="1">
      <alignment shrinkToFit="0" wrapText="1"/>
    </xf>
    <xf borderId="46" fillId="0" fontId="21" numFmtId="0" xfId="0" applyAlignment="1" applyBorder="1" applyFont="1">
      <alignment shrinkToFit="0" vertical="center" wrapText="1"/>
    </xf>
    <xf borderId="10" fillId="7" fontId="1" numFmtId="0" xfId="0" applyAlignment="1" applyBorder="1" applyFont="1">
      <alignment horizontal="center" vertical="center"/>
    </xf>
    <xf borderId="47" fillId="0" fontId="21" numFmtId="0" xfId="0" applyAlignment="1" applyBorder="1" applyFont="1">
      <alignment shrinkToFit="0" vertical="center" wrapText="1"/>
    </xf>
    <xf borderId="2" fillId="7" fontId="1" numFmtId="0" xfId="0" applyAlignment="1" applyBorder="1" applyFont="1">
      <alignment horizontal="center" vertical="center"/>
    </xf>
    <xf borderId="3" fillId="0" fontId="1" numFmtId="0" xfId="0" applyAlignment="1" applyBorder="1" applyFont="1">
      <alignment horizontal="left" shrinkToFit="0" wrapText="1"/>
    </xf>
    <xf borderId="2" fillId="6" fontId="16" numFmtId="0" xfId="0" applyAlignment="1" applyBorder="1" applyFont="1">
      <alignment horizontal="center" vertical="center"/>
    </xf>
    <xf borderId="14" fillId="0" fontId="1" numFmtId="0" xfId="0" applyAlignment="1" applyBorder="1" applyFont="1">
      <alignment horizontal="left" shrinkToFit="0" vertical="center" wrapText="1"/>
    </xf>
    <xf borderId="99" fillId="2" fontId="1" numFmtId="0" xfId="0" applyBorder="1" applyFont="1"/>
    <xf borderId="30" fillId="0" fontId="1" numFmtId="0" xfId="0" applyAlignment="1" applyBorder="1" applyFont="1">
      <alignment horizontal="left" shrinkToFit="0" vertical="center" wrapText="1"/>
    </xf>
    <xf borderId="100" fillId="6" fontId="12" numFmtId="0" xfId="0" applyAlignment="1" applyBorder="1" applyFont="1">
      <alignment horizontal="center" shrinkToFit="0" vertical="center" wrapText="1"/>
    </xf>
    <xf borderId="51" fillId="0" fontId="1" numFmtId="0" xfId="0" applyAlignment="1" applyBorder="1" applyFont="1">
      <alignment horizontal="left" shrinkToFit="0" wrapText="1"/>
    </xf>
    <xf borderId="101" fillId="2" fontId="1" numFmtId="0" xfId="0" applyBorder="1" applyFont="1"/>
    <xf borderId="39" fillId="0" fontId="21" numFmtId="0" xfId="0" applyAlignment="1" applyBorder="1" applyFont="1">
      <alignment shrinkToFit="0" vertical="center" wrapText="1"/>
    </xf>
    <xf borderId="51" fillId="0" fontId="3" numFmtId="0" xfId="0" applyAlignment="1" applyBorder="1" applyFont="1">
      <alignment horizontal="center" shrinkToFit="0" vertical="center" wrapText="1"/>
    </xf>
    <xf borderId="1" fillId="2" fontId="19" numFmtId="0" xfId="0" applyAlignment="1" applyBorder="1" applyFont="1">
      <alignment horizontal="left" vertical="center"/>
    </xf>
    <xf borderId="0" fillId="0" fontId="22" numFmtId="0" xfId="0" applyFont="1"/>
    <xf borderId="102" fillId="2" fontId="1" numFmtId="0" xfId="0" applyAlignment="1" applyBorder="1" applyFont="1">
      <alignment horizontal="center" vertical="center"/>
    </xf>
    <xf borderId="102" fillId="2" fontId="1" numFmtId="0" xfId="0" applyAlignment="1" applyBorder="1" applyFont="1">
      <alignment horizontal="left" shrinkToFit="0" vertical="center" wrapText="1"/>
    </xf>
    <xf borderId="103" fillId="0" fontId="7" numFmtId="0" xfId="0" applyBorder="1" applyFont="1"/>
    <xf borderId="104" fillId="0" fontId="7" numFmtId="0" xfId="0" applyBorder="1" applyFont="1"/>
    <xf borderId="1" fillId="2" fontId="18" numFmtId="0" xfId="0" applyAlignment="1" applyBorder="1" applyFont="1">
      <alignment horizontal="center" shrinkToFit="0" vertical="center" wrapText="1"/>
    </xf>
    <xf borderId="2" fillId="0" fontId="1" numFmtId="0" xfId="0" applyAlignment="1" applyBorder="1" applyFont="1">
      <alignment horizontal="left" shrinkToFit="0" vertical="top" wrapText="1"/>
    </xf>
    <xf borderId="61" fillId="0" fontId="1" numFmtId="0" xfId="0" applyAlignment="1" applyBorder="1" applyFont="1">
      <alignment horizontal="left" shrinkToFit="0" vertical="top" wrapText="1"/>
    </xf>
    <xf borderId="65" fillId="0" fontId="1" numFmtId="0" xfId="0" applyAlignment="1" applyBorder="1" applyFont="1">
      <alignment horizontal="left" shrinkToFit="0" vertical="top" wrapText="1"/>
    </xf>
    <xf borderId="0" fillId="0" fontId="1" numFmtId="0" xfId="0" applyAlignment="1" applyFont="1">
      <alignment horizontal="left" shrinkToFit="0" vertical="top" wrapText="1"/>
    </xf>
    <xf borderId="1" fillId="9" fontId="1" numFmtId="0" xfId="0" applyBorder="1" applyFill="1" applyFont="1"/>
    <xf borderId="36" fillId="9" fontId="23" numFmtId="0" xfId="0" applyAlignment="1" applyBorder="1" applyFont="1">
      <alignment horizontal="center"/>
    </xf>
    <xf borderId="1" fillId="9" fontId="1" numFmtId="0" xfId="0" applyAlignment="1" applyBorder="1" applyFont="1">
      <alignment horizontal="center" shrinkToFit="0" vertical="center" wrapText="1"/>
    </xf>
    <xf borderId="1" fillId="9" fontId="1" numFmtId="0" xfId="0" applyAlignment="1" applyBorder="1" applyFont="1">
      <alignment horizontal="center" vertical="center"/>
    </xf>
    <xf borderId="1" fillId="9" fontId="1" numFmtId="0" xfId="0" applyAlignment="1" applyBorder="1" applyFont="1">
      <alignment shrinkToFit="0" wrapText="1"/>
    </xf>
    <xf borderId="105" fillId="6" fontId="12" numFmtId="0" xfId="0" applyAlignment="1" applyBorder="1" applyFont="1">
      <alignment horizontal="center" shrinkToFit="0" vertical="center" wrapText="1"/>
    </xf>
    <xf borderId="65" fillId="0" fontId="1" numFmtId="0" xfId="0" applyAlignment="1" applyBorder="1" applyFont="1">
      <alignment horizontal="left" shrinkToFit="0" vertical="center" wrapText="1"/>
    </xf>
    <xf borderId="0" fillId="0" fontId="3" numFmtId="0" xfId="0" applyAlignment="1" applyFont="1">
      <alignment horizontal="center" vertical="center"/>
    </xf>
    <xf borderId="88" fillId="6" fontId="12" numFmtId="0" xfId="0" applyAlignment="1" applyBorder="1" applyFont="1">
      <alignment horizontal="center" shrinkToFit="0" vertical="center" wrapText="1"/>
    </xf>
    <xf borderId="1" fillId="9" fontId="22" numFmtId="0" xfId="0" applyBorder="1" applyFont="1"/>
    <xf borderId="95" fillId="0" fontId="1" numFmtId="0" xfId="0" applyAlignment="1" applyBorder="1" applyFont="1">
      <alignment shrinkToFit="0" wrapText="1"/>
    </xf>
    <xf borderId="96" fillId="0" fontId="1" numFmtId="0" xfId="0" applyAlignment="1" applyBorder="1" applyFont="1">
      <alignment shrinkToFit="0" wrapText="1"/>
    </xf>
    <xf borderId="97" fillId="0" fontId="1" numFmtId="0" xfId="0" applyAlignment="1" applyBorder="1" applyFont="1">
      <alignment shrinkToFit="0" wrapText="1"/>
    </xf>
    <xf borderId="1" fillId="6" fontId="1" numFmtId="0" xfId="0" applyBorder="1" applyFont="1"/>
    <xf borderId="36" fillId="6" fontId="23" numFmtId="0" xfId="0" applyAlignment="1" applyBorder="1" applyFont="1">
      <alignment horizontal="center"/>
    </xf>
    <xf borderId="1" fillId="6" fontId="12" numFmtId="0" xfId="0" applyAlignment="1" applyBorder="1" applyFont="1">
      <alignment horizontal="center" shrinkToFit="0" vertical="center" wrapText="1"/>
    </xf>
    <xf borderId="1" fillId="6" fontId="1" numFmtId="0" xfId="0" applyAlignment="1" applyBorder="1" applyFont="1">
      <alignment horizontal="center" shrinkToFit="0" vertical="center" wrapText="1"/>
    </xf>
    <xf borderId="1" fillId="6" fontId="1" numFmtId="0" xfId="0" applyAlignment="1" applyBorder="1" applyFont="1">
      <alignment horizontal="center" vertical="center"/>
    </xf>
    <xf borderId="1" fillId="6" fontId="1" numFmtId="0" xfId="0" applyAlignment="1" applyBorder="1" applyFont="1">
      <alignment shrinkToFit="0" wrapText="1"/>
    </xf>
    <xf borderId="2" fillId="6" fontId="12" numFmtId="0" xfId="0" applyAlignment="1" applyBorder="1" applyFont="1">
      <alignment horizontal="center" vertical="center"/>
    </xf>
    <xf borderId="3" fillId="0" fontId="1" numFmtId="0" xfId="0" applyAlignment="1" applyBorder="1" applyFont="1">
      <alignment horizontal="left" vertical="center"/>
    </xf>
    <xf borderId="2" fillId="5" fontId="3" numFmtId="0" xfId="0" applyAlignment="1" applyBorder="1" applyFont="1">
      <alignment horizontal="center" vertical="center"/>
    </xf>
    <xf borderId="0" fillId="0" fontId="1" numFmtId="0" xfId="0" applyAlignment="1" applyFont="1">
      <alignment horizontal="left" vertical="center"/>
    </xf>
    <xf borderId="2" fillId="5" fontId="1" numFmtId="0" xfId="0" applyAlignment="1" applyBorder="1" applyFont="1">
      <alignment horizontal="center" readingOrder="0" vertical="center"/>
    </xf>
    <xf borderId="3" fillId="0" fontId="1" numFmtId="0" xfId="0" applyAlignment="1" applyBorder="1" applyFont="1">
      <alignment horizontal="left" shrinkToFit="0" vertical="center" wrapText="1"/>
    </xf>
    <xf borderId="0" fillId="0" fontId="14" numFmtId="0" xfId="0" applyAlignment="1" applyFont="1">
      <alignment horizontal="center" shrinkToFit="0" wrapText="1"/>
    </xf>
    <xf borderId="83" fillId="0" fontId="1" numFmtId="0" xfId="0" applyAlignment="1" applyBorder="1" applyFont="1">
      <alignment horizontal="center"/>
    </xf>
    <xf borderId="84" fillId="0" fontId="7" numFmtId="0" xfId="0" applyBorder="1" applyFont="1"/>
    <xf borderId="36" fillId="0" fontId="1" numFmtId="0" xfId="0" applyAlignment="1" applyBorder="1" applyFont="1">
      <alignment horizontal="center"/>
    </xf>
    <xf borderId="46" fillId="0" fontId="24" numFmtId="0" xfId="0" applyAlignment="1" applyBorder="1" applyFont="1">
      <alignment horizontal="center" shrinkToFit="0" vertical="center" wrapText="1"/>
    </xf>
    <xf borderId="56" fillId="0" fontId="24" numFmtId="0" xfId="0" applyAlignment="1" applyBorder="1" applyFont="1">
      <alignment horizontal="center" shrinkToFit="0" vertical="center" wrapText="1"/>
    </xf>
    <xf borderId="95" fillId="0" fontId="24" numFmtId="0" xfId="0" applyAlignment="1" applyBorder="1" applyFont="1">
      <alignment horizontal="center" shrinkToFit="0" vertical="center" wrapText="1"/>
    </xf>
    <xf borderId="106" fillId="10" fontId="25" numFmtId="0" xfId="0" applyBorder="1" applyFill="1" applyFont="1"/>
    <xf borderId="2" fillId="10" fontId="25" numFmtId="0" xfId="0" applyAlignment="1" applyBorder="1" applyFont="1">
      <alignment horizontal="center" readingOrder="0"/>
    </xf>
    <xf borderId="107" fillId="0" fontId="24" numFmtId="0" xfId="0" applyAlignment="1" applyBorder="1" applyFont="1">
      <alignment horizontal="center" readingOrder="0" shrinkToFit="0" vertical="center" wrapText="1"/>
    </xf>
    <xf borderId="108" fillId="0" fontId="7" numFmtId="0" xfId="0" applyBorder="1" applyFont="1"/>
    <xf borderId="107" fillId="0" fontId="24" numFmtId="0" xfId="0" applyAlignment="1" applyBorder="1" applyFont="1">
      <alignment horizontal="center" shrinkToFit="0" vertical="center" wrapText="1"/>
    </xf>
    <xf borderId="64" fillId="0" fontId="26" numFmtId="0" xfId="0" applyAlignment="1" applyBorder="1" applyFont="1">
      <alignment horizontal="center" vertical="center"/>
    </xf>
    <xf borderId="41" fillId="0" fontId="26" numFmtId="0" xfId="0" applyAlignment="1" applyBorder="1" applyFont="1">
      <alignment horizontal="center" vertical="center"/>
    </xf>
    <xf borderId="36" fillId="0" fontId="26" numFmtId="0" xfId="0" applyAlignment="1" applyBorder="1" applyFont="1">
      <alignment horizontal="center" vertical="center"/>
    </xf>
    <xf borderId="0" fillId="0" fontId="26" numFmtId="0" xfId="0" applyAlignment="1" applyFont="1">
      <alignment horizontal="center" vertical="center"/>
    </xf>
    <xf borderId="94" fillId="0" fontId="1" numFmtId="0" xfId="0" applyAlignment="1" applyBorder="1" applyFont="1">
      <alignment horizontal="left"/>
    </xf>
    <xf borderId="75" fillId="0" fontId="27" numFmtId="0" xfId="0" applyAlignment="1" applyBorder="1" applyFont="1">
      <alignment horizontal="center"/>
    </xf>
    <xf borderId="85" fillId="0" fontId="7" numFmtId="0" xfId="0" applyBorder="1" applyFont="1"/>
    <xf borderId="59" fillId="0" fontId="7" numFmtId="0" xfId="0" applyBorder="1" applyFont="1"/>
    <xf borderId="47" fillId="0" fontId="27" numFmtId="0" xfId="0" applyAlignment="1" applyBorder="1" applyFont="1">
      <alignment horizontal="center"/>
    </xf>
    <xf borderId="109" fillId="0" fontId="7" numFmtId="0" xfId="0" applyBorder="1" applyFont="1"/>
    <xf borderId="110" fillId="0" fontId="7" numFmtId="0" xfId="0" applyBorder="1" applyFont="1"/>
    <xf borderId="3" fillId="0" fontId="27" numFmtId="0" xfId="0" applyAlignment="1" applyBorder="1" applyFont="1">
      <alignment horizontal="center"/>
    </xf>
    <xf borderId="51" fillId="0" fontId="27" numFmtId="0" xfId="0" applyAlignment="1" applyBorder="1" applyFont="1">
      <alignment horizontal="center"/>
    </xf>
    <xf borderId="111" fillId="0" fontId="7" numFmtId="0" xfId="0" applyBorder="1" applyFont="1"/>
    <xf borderId="39" fillId="0" fontId="27" numFmtId="0" xfId="0" applyAlignment="1" applyBorder="1" applyFont="1">
      <alignment horizontal="center"/>
    </xf>
    <xf borderId="26" fillId="0" fontId="27" numFmtId="0" xfId="0" applyAlignment="1" applyBorder="1" applyFont="1">
      <alignment horizontal="center"/>
    </xf>
    <xf borderId="112" fillId="0" fontId="7" numFmtId="0" xfId="0" applyBorder="1" applyFont="1"/>
    <xf borderId="5" fillId="2" fontId="28" numFmtId="0" xfId="0" applyAlignment="1" applyBorder="1" applyFont="1">
      <alignment horizontal="center" vertical="center"/>
    </xf>
    <xf borderId="5" fillId="2" fontId="5" numFmtId="0" xfId="0" applyAlignment="1" applyBorder="1" applyFont="1">
      <alignment horizontal="center"/>
    </xf>
    <xf borderId="1" fillId="2" fontId="1" numFmtId="0" xfId="0" applyAlignment="1" applyBorder="1" applyFont="1">
      <alignment horizontal="left" shrinkToFit="0" vertical="center" wrapText="1"/>
    </xf>
    <xf borderId="1" fillId="2" fontId="5" numFmtId="0" xfId="0" applyBorder="1" applyFont="1"/>
    <xf borderId="5" fillId="2" fontId="1" numFmtId="0" xfId="0" applyAlignment="1" applyBorder="1" applyFont="1">
      <alignment horizontal="left" shrinkToFit="0" vertical="center" wrapText="1"/>
    </xf>
    <xf borderId="113" fillId="0" fontId="7" numFmtId="0" xfId="0" applyBorder="1" applyFont="1"/>
    <xf borderId="2" fillId="4" fontId="1" numFmtId="0" xfId="0" applyBorder="1" applyFont="1"/>
    <xf borderId="5" fillId="2" fontId="1" numFmtId="0" xfId="0" applyAlignment="1" applyBorder="1" applyFont="1">
      <alignment horizontal="left"/>
    </xf>
    <xf borderId="1" fillId="2" fontId="1" numFmtId="0" xfId="0" applyAlignment="1" applyBorder="1" applyFont="1">
      <alignment horizontal="left"/>
    </xf>
    <xf borderId="36" fillId="9" fontId="29" numFmtId="0" xfId="0" applyAlignment="1" applyBorder="1" applyFont="1">
      <alignment horizontal="center"/>
    </xf>
    <xf borderId="114" fillId="0" fontId="7" numFmtId="0" xfId="0" applyBorder="1" applyFont="1"/>
    <xf borderId="10" fillId="9" fontId="1" numFmtId="0" xfId="0" applyAlignment="1" applyBorder="1" applyFont="1">
      <alignment shrinkToFit="0" wrapText="1"/>
    </xf>
    <xf borderId="11" fillId="9" fontId="1" numFmtId="0" xfId="0" applyAlignment="1" applyBorder="1" applyFont="1">
      <alignment shrinkToFit="0" wrapText="1"/>
    </xf>
    <xf borderId="36" fillId="2" fontId="5" numFmtId="0" xfId="0" applyAlignment="1" applyBorder="1" applyFont="1">
      <alignment horizontal="center" shrinkToFit="0" vertical="center" wrapText="1"/>
    </xf>
    <xf borderId="99" fillId="9" fontId="1" numFmtId="0" xfId="0" applyAlignment="1" applyBorder="1" applyFont="1">
      <alignment shrinkToFit="0" wrapText="1"/>
    </xf>
    <xf borderId="115" fillId="2" fontId="1" numFmtId="0" xfId="0" applyBorder="1" applyFont="1"/>
    <xf borderId="116" fillId="2" fontId="30" numFmtId="0" xfId="0" applyAlignment="1" applyBorder="1" applyFont="1">
      <alignment horizontal="center" shrinkToFit="0" vertical="center" wrapText="1"/>
    </xf>
    <xf borderId="117" fillId="2" fontId="1" numFmtId="0" xfId="0" applyBorder="1" applyFont="1"/>
    <xf borderId="98" fillId="2" fontId="1" numFmtId="0" xfId="0" applyBorder="1" applyFont="1"/>
    <xf borderId="97" fillId="4" fontId="31" numFmtId="0" xfId="0" applyAlignment="1" applyBorder="1" applyFont="1">
      <alignment horizontal="center"/>
    </xf>
    <xf borderId="36" fillId="9" fontId="32" numFmtId="0" xfId="0" applyAlignment="1" applyBorder="1" applyFont="1">
      <alignment horizontal="center"/>
    </xf>
    <xf borderId="94" fillId="0" fontId="5" numFmtId="0" xfId="0" applyAlignment="1" applyBorder="1" applyFont="1">
      <alignment horizontal="center" shrinkToFit="0" vertical="center" wrapText="1"/>
    </xf>
    <xf borderId="58" fillId="0" fontId="5" numFmtId="0" xfId="0" applyAlignment="1" applyBorder="1" applyFont="1">
      <alignment horizontal="center" shrinkToFit="0" vertical="center" wrapText="1"/>
    </xf>
    <xf borderId="68" fillId="0" fontId="5" numFmtId="0" xfId="0" applyAlignment="1" applyBorder="1" applyFont="1">
      <alignment horizontal="center" shrinkToFit="0" vertical="center" wrapText="1"/>
    </xf>
    <xf borderId="83" fillId="0" fontId="29" numFmtId="0" xfId="0" applyAlignment="1" applyBorder="1" applyFont="1">
      <alignment horizontal="center" shrinkToFit="0" vertical="center" wrapText="1"/>
    </xf>
    <xf borderId="46" fillId="0" fontId="1" numFmtId="0" xfId="0" applyAlignment="1" applyBorder="1" applyFont="1">
      <alignment horizontal="center" shrinkToFit="0" wrapText="1"/>
    </xf>
    <xf borderId="95" fillId="0" fontId="33" numFmtId="0" xfId="0" applyAlignment="1" applyBorder="1" applyFont="1">
      <alignment horizontal="center" shrinkToFit="0" vertical="center" wrapText="1"/>
    </xf>
    <xf borderId="18" fillId="0" fontId="1" numFmtId="0" xfId="0" applyAlignment="1" applyBorder="1" applyFont="1">
      <alignment horizontal="center" shrinkToFit="0" wrapText="1"/>
    </xf>
    <xf borderId="17" fillId="0" fontId="33" numFmtId="0" xfId="0" applyAlignment="1" applyBorder="1" applyFont="1">
      <alignment horizontal="center" shrinkToFit="0" vertical="center" wrapText="1"/>
    </xf>
    <xf borderId="16" fillId="0" fontId="1" numFmtId="0" xfId="0" applyAlignment="1" applyBorder="1" applyFont="1">
      <alignment horizontal="center" shrinkToFit="0" wrapText="1"/>
    </xf>
    <xf borderId="50" fillId="0" fontId="1" numFmtId="0" xfId="0" applyAlignment="1" applyBorder="1" applyFont="1">
      <alignment horizontal="center" shrinkToFit="0" wrapText="1"/>
    </xf>
    <xf borderId="61" fillId="6" fontId="12" numFmtId="0" xfId="0" applyAlignment="1" applyBorder="1" applyFont="1">
      <alignment horizontal="center" shrinkToFit="0" wrapText="1"/>
    </xf>
    <xf borderId="97" fillId="0" fontId="33" numFmtId="0" xfId="0" applyAlignment="1" applyBorder="1" applyFont="1">
      <alignment horizontal="center" shrinkToFit="0" wrapText="1"/>
    </xf>
    <xf borderId="0" fillId="0" fontId="34" numFmtId="0" xfId="0" applyFont="1"/>
    <xf borderId="36" fillId="0" fontId="5" numFmtId="0" xfId="0" applyAlignment="1" applyBorder="1" applyFont="1">
      <alignment horizontal="center" vertical="center"/>
    </xf>
    <xf borderId="11" fillId="2" fontId="30" numFmtId="0" xfId="0" applyAlignment="1" applyBorder="1" applyFont="1">
      <alignment horizontal="center" shrinkToFit="0" wrapText="1"/>
    </xf>
    <xf borderId="83" fillId="0" fontId="5" numFmtId="0" xfId="0" applyAlignment="1" applyBorder="1" applyFont="1">
      <alignment horizontal="center" shrinkToFit="0" vertical="center" wrapText="1"/>
    </xf>
    <xf borderId="56" fillId="6" fontId="12" numFmtId="0" xfId="0" applyAlignment="1" applyBorder="1" applyFont="1">
      <alignment horizontal="center" shrinkToFit="0" wrapText="1"/>
    </xf>
    <xf borderId="95" fillId="4" fontId="31" numFmtId="0" xfId="0" applyAlignment="1" applyBorder="1" applyFont="1">
      <alignment horizontal="center" shrinkToFit="0" wrapText="1"/>
    </xf>
    <xf borderId="99" fillId="9" fontId="34" numFmtId="0" xfId="0" applyBorder="1" applyFont="1"/>
    <xf borderId="2" fillId="6" fontId="12" numFmtId="0" xfId="0" applyAlignment="1" applyBorder="1" applyFont="1">
      <alignment horizontal="center" shrinkToFit="0" wrapText="1"/>
    </xf>
    <xf borderId="96" fillId="4" fontId="31" numFmtId="0" xfId="0" applyAlignment="1" applyBorder="1" applyFont="1">
      <alignment horizontal="center" shrinkToFit="0" wrapText="1"/>
    </xf>
    <xf borderId="61" fillId="6" fontId="12" numFmtId="0" xfId="0" applyAlignment="1" applyBorder="1" applyFont="1">
      <alignment horizontal="center" vertical="center"/>
    </xf>
    <xf borderId="97" fillId="4" fontId="31" numFmtId="0" xfId="0" applyAlignment="1" applyBorder="1" applyFont="1">
      <alignment horizontal="center" shrinkToFit="0" wrapText="1"/>
    </xf>
    <xf borderId="115" fillId="9" fontId="5" numFmtId="0" xfId="0" applyAlignment="1" applyBorder="1" applyFont="1">
      <alignment horizontal="center"/>
    </xf>
    <xf borderId="1" fillId="9" fontId="1" numFmtId="0" xfId="0" applyAlignment="1" applyBorder="1" applyFont="1">
      <alignment horizontal="center"/>
    </xf>
    <xf borderId="117" fillId="9" fontId="1" numFmtId="0" xfId="0" applyBorder="1" applyFont="1"/>
    <xf borderId="98" fillId="9" fontId="1" numFmtId="0" xfId="0" applyBorder="1" applyFont="1"/>
    <xf borderId="98" fillId="9" fontId="1" numFmtId="0" xfId="0" applyAlignment="1" applyBorder="1" applyFont="1">
      <alignment shrinkToFit="0" wrapText="1"/>
    </xf>
    <xf borderId="118" fillId="9" fontId="1" numFmtId="0" xfId="0" applyAlignment="1" applyBorder="1" applyFont="1">
      <alignment shrinkToFit="0" wrapText="1"/>
    </xf>
    <xf borderId="36" fillId="11" fontId="5" numFmtId="0" xfId="0" applyAlignment="1" applyBorder="1" applyFill="1" applyFont="1">
      <alignment horizontal="center"/>
    </xf>
    <xf borderId="115" fillId="11" fontId="34" numFmtId="0" xfId="0" applyBorder="1" applyFont="1"/>
    <xf borderId="119" fillId="11" fontId="34" numFmtId="0" xfId="0" applyAlignment="1" applyBorder="1" applyFont="1">
      <alignment horizontal="center"/>
    </xf>
    <xf borderId="73" fillId="11" fontId="34" numFmtId="0" xfId="0" applyAlignment="1" applyBorder="1" applyFont="1">
      <alignment horizontal="center"/>
    </xf>
    <xf borderId="99" fillId="11" fontId="34" numFmtId="0" xfId="0" applyAlignment="1" applyBorder="1" applyFont="1">
      <alignment horizontal="center"/>
    </xf>
    <xf borderId="18" fillId="11" fontId="34" numFmtId="0" xfId="0" applyAlignment="1" applyBorder="1" applyFont="1">
      <alignment shrinkToFit="0" wrapText="1"/>
    </xf>
    <xf borderId="120" fillId="11" fontId="35" numFmtId="0" xfId="0" applyAlignment="1" applyBorder="1" applyFont="1">
      <alignment horizontal="center"/>
    </xf>
    <xf borderId="90" fillId="11" fontId="35" numFmtId="0" xfId="0" applyAlignment="1" applyBorder="1" applyFont="1">
      <alignment horizontal="center"/>
    </xf>
    <xf borderId="19" fillId="11" fontId="35" numFmtId="0" xfId="0" applyAlignment="1" applyBorder="1" applyFont="1">
      <alignment horizontal="center"/>
    </xf>
    <xf borderId="60" fillId="11" fontId="35" numFmtId="0" xfId="0" applyAlignment="1" applyBorder="1" applyFont="1">
      <alignment horizontal="center"/>
    </xf>
    <xf borderId="18" fillId="11" fontId="34" numFmtId="0" xfId="0" applyAlignment="1" applyBorder="1" applyFont="1">
      <alignment horizontal="left" shrinkToFit="0" wrapText="1"/>
    </xf>
    <xf borderId="50" fillId="11" fontId="34" numFmtId="0" xfId="0" applyAlignment="1" applyBorder="1" applyFont="1">
      <alignment shrinkToFit="0" wrapText="1"/>
    </xf>
    <xf borderId="121" fillId="11" fontId="35" numFmtId="0" xfId="0" applyAlignment="1" applyBorder="1" applyFont="1">
      <alignment horizontal="center"/>
    </xf>
    <xf borderId="69" fillId="11" fontId="35" numFmtId="0" xfId="0" applyAlignment="1" applyBorder="1" applyFont="1">
      <alignment horizontal="center"/>
    </xf>
    <xf borderId="122" fillId="11" fontId="35" numFmtId="0" xfId="0" applyAlignment="1" applyBorder="1" applyFont="1">
      <alignment horizontal="center"/>
    </xf>
    <xf borderId="46" fillId="11" fontId="34" numFmtId="0" xfId="0" applyAlignment="1" applyBorder="1" applyFont="1">
      <alignment shrinkToFit="0" wrapText="1"/>
    </xf>
    <xf borderId="56" fillId="11" fontId="34" numFmtId="0" xfId="0" applyAlignment="1" applyBorder="1" applyFont="1">
      <alignment horizontal="center"/>
    </xf>
    <xf borderId="95" fillId="11" fontId="34" numFmtId="0" xfId="0" applyAlignment="1" applyBorder="1" applyFont="1">
      <alignment horizontal="center"/>
    </xf>
    <xf borderId="69" fillId="11" fontId="35" numFmtId="0" xfId="0" applyAlignment="1" applyBorder="1" applyFont="1">
      <alignment horizontal="center" vertical="center"/>
    </xf>
    <xf borderId="122" fillId="11" fontId="35" numFmtId="0" xfId="0" applyAlignment="1" applyBorder="1" applyFont="1">
      <alignment horizontal="center" vertical="center"/>
    </xf>
    <xf borderId="3" fillId="11" fontId="29" numFmtId="0" xfId="0" applyAlignment="1" applyBorder="1" applyFont="1">
      <alignment horizontal="center" shrinkToFit="0" wrapText="1"/>
    </xf>
    <xf borderId="2" fillId="11" fontId="34" numFmtId="0" xfId="0" applyAlignment="1" applyBorder="1" applyFont="1">
      <alignment shrinkToFit="0" wrapText="1"/>
    </xf>
    <xf borderId="2" fillId="11" fontId="35" numFmtId="0" xfId="0" applyAlignment="1" applyBorder="1" applyFont="1">
      <alignment horizontal="center"/>
    </xf>
    <xf borderId="2" fillId="11" fontId="35" numFmtId="0" xfId="0" applyAlignment="1" applyBorder="1" applyFont="1">
      <alignment horizontal="center" vertical="center"/>
    </xf>
    <xf borderId="123" fillId="11" fontId="29" numFmtId="0" xfId="0" applyAlignment="1" applyBorder="1" applyFont="1">
      <alignment horizontal="center"/>
    </xf>
    <xf borderId="18" fillId="11" fontId="15" numFmtId="0" xfId="0" applyAlignment="1" applyBorder="1" applyFont="1">
      <alignment horizontal="right" shrinkToFit="0" wrapText="1"/>
    </xf>
    <xf borderId="96" fillId="11" fontId="1" numFmtId="0" xfId="0" applyBorder="1" applyFont="1"/>
    <xf borderId="115" fillId="11" fontId="1" numFmtId="0" xfId="0" applyBorder="1" applyFont="1"/>
    <xf borderId="1" fillId="11" fontId="1" numFmtId="0" xfId="0" applyBorder="1" applyFont="1"/>
    <xf borderId="99" fillId="11" fontId="1" numFmtId="0" xfId="0" applyBorder="1" applyFont="1"/>
    <xf borderId="96" fillId="11" fontId="1" numFmtId="0" xfId="0" applyAlignment="1" applyBorder="1" applyFont="1">
      <alignment horizontal="center"/>
    </xf>
    <xf borderId="18" fillId="11" fontId="15" numFmtId="0" xfId="0" applyAlignment="1" applyBorder="1" applyFont="1">
      <alignment horizontal="right"/>
    </xf>
    <xf borderId="96" fillId="11" fontId="35" numFmtId="0" xfId="0" applyAlignment="1" applyBorder="1" applyFont="1">
      <alignment horizontal="center"/>
    </xf>
    <xf borderId="50" fillId="11" fontId="15" numFmtId="0" xfId="0" applyAlignment="1" applyBorder="1" applyFont="1">
      <alignment horizontal="right"/>
    </xf>
    <xf borderId="61" fillId="11" fontId="35" numFmtId="0" xfId="0" applyAlignment="1" applyBorder="1" applyFont="1">
      <alignment horizontal="center" vertical="center"/>
    </xf>
    <xf borderId="97" fillId="11" fontId="35" numFmtId="0" xfId="0" applyAlignment="1" applyBorder="1" applyFont="1">
      <alignment horizontal="center"/>
    </xf>
    <xf borderId="5" fillId="2" fontId="5" numFmtId="0" xfId="0" applyAlignment="1" applyBorder="1" applyFont="1">
      <alignment horizontal="center" shrinkToFit="0" wrapText="1"/>
    </xf>
    <xf borderId="36" fillId="12" fontId="5" numFmtId="0" xfId="0" applyAlignment="1" applyBorder="1" applyFill="1" applyFont="1">
      <alignment horizontal="center"/>
    </xf>
    <xf borderId="124" fillId="9" fontId="32" numFmtId="0" xfId="0" applyAlignment="1" applyBorder="1" applyFont="1">
      <alignment horizontal="center"/>
    </xf>
    <xf borderId="125" fillId="0" fontId="7" numFmtId="0" xfId="0" applyBorder="1" applyFont="1"/>
    <xf borderId="126" fillId="0" fontId="7" numFmtId="0" xfId="0" applyBorder="1" applyFont="1"/>
    <xf borderId="127" fillId="0" fontId="5" numFmtId="0" xfId="0" applyAlignment="1" applyBorder="1" applyFont="1">
      <alignment horizontal="center" shrinkToFit="0" vertical="center" wrapText="1"/>
    </xf>
    <xf borderId="128" fillId="0" fontId="5" numFmtId="0" xfId="0" applyAlignment="1" applyBorder="1" applyFont="1">
      <alignment horizontal="center" shrinkToFit="0" vertical="center" wrapText="1"/>
    </xf>
    <xf borderId="129" fillId="0" fontId="5" numFmtId="0" xfId="0" applyAlignment="1" applyBorder="1" applyFont="1">
      <alignment horizontal="center" shrinkToFit="0" vertical="center" wrapText="1"/>
    </xf>
    <xf borderId="130" fillId="0" fontId="29" numFmtId="0" xfId="0" applyAlignment="1" applyBorder="1" applyFont="1">
      <alignment horizontal="center" shrinkToFit="0" vertical="center" wrapText="1"/>
    </xf>
    <xf borderId="131" fillId="0" fontId="7" numFmtId="0" xfId="0" applyBorder="1" applyFont="1"/>
    <xf borderId="130" fillId="9" fontId="36" numFmtId="0" xfId="0" applyAlignment="1" applyBorder="1" applyFont="1">
      <alignment horizontal="center" shrinkToFit="0" vertical="center" wrapText="1"/>
    </xf>
    <xf borderId="132" fillId="0" fontId="7" numFmtId="0" xfId="0" applyBorder="1" applyFont="1"/>
    <xf borderId="133" fillId="0" fontId="7" numFmtId="0" xfId="0" applyBorder="1" applyFont="1"/>
    <xf borderId="134" fillId="0" fontId="1" numFmtId="0" xfId="0" applyAlignment="1" applyBorder="1" applyFont="1">
      <alignment horizontal="center" shrinkToFit="0" wrapText="1"/>
    </xf>
    <xf borderId="135" fillId="0" fontId="7" numFmtId="0" xfId="0" applyBorder="1" applyFont="1"/>
    <xf borderId="136" fillId="0" fontId="1" numFmtId="0" xfId="0" applyAlignment="1" applyBorder="1" applyFont="1">
      <alignment horizontal="center" shrinkToFit="0" wrapText="1"/>
    </xf>
    <xf borderId="137" fillId="0" fontId="1" numFmtId="0" xfId="0" applyAlignment="1" applyBorder="1" applyFont="1">
      <alignment horizontal="center" shrinkToFit="0" wrapText="1"/>
    </xf>
    <xf borderId="138" fillId="0" fontId="1" numFmtId="0" xfId="0" applyAlignment="1" applyBorder="1" applyFont="1">
      <alignment horizontal="center" shrinkToFit="0" wrapText="1"/>
    </xf>
    <xf borderId="139" fillId="13" fontId="5" numFmtId="0" xfId="0" applyAlignment="1" applyBorder="1" applyFill="1" applyFont="1">
      <alignment horizontal="center" vertical="center"/>
    </xf>
    <xf borderId="140" fillId="0" fontId="5" numFmtId="0" xfId="0" applyAlignment="1" applyBorder="1" applyFont="1">
      <alignment horizontal="center" shrinkToFit="0" vertical="center" wrapText="1"/>
    </xf>
    <xf borderId="11" fillId="2" fontId="5" numFmtId="0" xfId="0" applyAlignment="1" applyBorder="1" applyFont="1">
      <alignment horizontal="center" shrinkToFit="0" wrapText="1"/>
    </xf>
    <xf borderId="95" fillId="2" fontId="31" numFmtId="0" xfId="0" applyAlignment="1" applyBorder="1" applyFont="1">
      <alignment horizontal="center" shrinkToFit="0" wrapText="1"/>
    </xf>
    <xf borderId="96" fillId="2" fontId="31" numFmtId="0" xfId="0" applyAlignment="1" applyBorder="1" applyFont="1">
      <alignment horizontal="center" shrinkToFit="0" wrapText="1"/>
    </xf>
    <xf borderId="141" fillId="0" fontId="1" numFmtId="0" xfId="0" applyAlignment="1" applyBorder="1" applyFont="1">
      <alignment horizontal="center" shrinkToFit="0" wrapText="1"/>
    </xf>
    <xf borderId="142" fillId="6" fontId="12" numFmtId="0" xfId="0" applyAlignment="1" applyBorder="1" applyFont="1">
      <alignment horizontal="center" vertical="center"/>
    </xf>
    <xf borderId="142" fillId="6" fontId="12" numFmtId="0" xfId="0" applyAlignment="1" applyBorder="1" applyFont="1">
      <alignment horizontal="center" shrinkToFit="0" wrapText="1"/>
    </xf>
    <xf borderId="143" fillId="2" fontId="31" numFmtId="0" xfId="0" applyAlignment="1" applyBorder="1" applyFont="1">
      <alignment horizontal="center" shrinkToFit="0" wrapText="1"/>
    </xf>
    <xf borderId="144" fillId="0" fontId="7" numFmtId="0" xfId="0" applyBorder="1" applyFont="1"/>
    <xf borderId="145" fillId="0" fontId="7" numFmtId="0" xfId="0" applyBorder="1" applyFont="1"/>
    <xf borderId="146" fillId="0" fontId="7" numFmtId="0" xfId="0" applyBorder="1" applyFont="1"/>
    <xf borderId="147" fillId="0" fontId="7" numFmtId="0" xfId="0" applyBorder="1" applyFont="1"/>
    <xf borderId="81" fillId="9" fontId="32" numFmtId="0" xfId="0" applyAlignment="1" applyBorder="1" applyFont="1">
      <alignment horizontal="center"/>
    </xf>
    <xf borderId="115" fillId="9" fontId="37" numFmtId="0" xfId="0" applyBorder="1" applyFont="1"/>
    <xf borderId="1" fillId="9" fontId="37" numFmtId="0" xfId="0" applyBorder="1" applyFont="1"/>
    <xf borderId="148" fillId="0" fontId="5" numFmtId="0" xfId="0" applyAlignment="1" applyBorder="1" applyFont="1">
      <alignment horizontal="center" shrinkToFit="0" vertical="center" wrapText="1"/>
    </xf>
    <xf borderId="149" fillId="0" fontId="5" numFmtId="0" xfId="0" applyAlignment="1" applyBorder="1" applyFont="1">
      <alignment horizontal="center" shrinkToFit="0" vertical="center" wrapText="1"/>
    </xf>
    <xf borderId="150" fillId="0" fontId="5" numFmtId="0" xfId="0" applyAlignment="1" applyBorder="1" applyFont="1">
      <alignment horizontal="center" shrinkToFit="0" vertical="center" wrapText="1"/>
    </xf>
    <xf borderId="151" fillId="0" fontId="29" numFmtId="0" xfId="0" applyAlignment="1" applyBorder="1" applyFont="1">
      <alignment horizontal="center" shrinkToFit="0" vertical="center" wrapText="1"/>
    </xf>
    <xf borderId="152" fillId="0" fontId="7" numFmtId="0" xfId="0" applyBorder="1" applyFont="1"/>
    <xf borderId="151" fillId="11" fontId="36" numFmtId="0" xfId="0" applyAlignment="1" applyBorder="1" applyFont="1">
      <alignment horizontal="center" shrinkToFit="0" vertical="center" wrapText="1"/>
    </xf>
    <xf borderId="153" fillId="0" fontId="7" numFmtId="0" xfId="0" applyBorder="1" applyFont="1"/>
    <xf borderId="154" fillId="0" fontId="7" numFmtId="0" xfId="0" applyBorder="1" applyFont="1"/>
    <xf borderId="155" fillId="0" fontId="1" numFmtId="0" xfId="0" applyAlignment="1" applyBorder="1" applyFont="1">
      <alignment horizontal="center" shrinkToFit="0" wrapText="1"/>
    </xf>
    <xf borderId="156" fillId="0" fontId="7" numFmtId="0" xfId="0" applyBorder="1" applyFont="1"/>
    <xf borderId="157" fillId="0" fontId="1" numFmtId="0" xfId="0" applyAlignment="1" applyBorder="1" applyFont="1">
      <alignment horizontal="center" shrinkToFit="0" wrapText="1"/>
    </xf>
    <xf borderId="158" fillId="0" fontId="1" numFmtId="0" xfId="0" applyAlignment="1" applyBorder="1" applyFont="1">
      <alignment horizontal="center" shrinkToFit="0" wrapText="1"/>
    </xf>
    <xf borderId="159" fillId="0" fontId="1" numFmtId="0" xfId="0" applyAlignment="1" applyBorder="1" applyFont="1">
      <alignment horizontal="center" shrinkToFit="0" wrapText="1"/>
    </xf>
    <xf borderId="160" fillId="13" fontId="5" numFmtId="0" xfId="0" applyAlignment="1" applyBorder="1" applyFont="1">
      <alignment horizontal="center" vertical="center"/>
    </xf>
    <xf borderId="161" fillId="0" fontId="5" numFmtId="0" xfId="0" applyAlignment="1" applyBorder="1" applyFont="1">
      <alignment horizontal="center" shrinkToFit="0" vertical="center" wrapText="1"/>
    </xf>
    <xf borderId="162" fillId="0" fontId="1" numFmtId="0" xfId="0" applyAlignment="1" applyBorder="1" applyFont="1">
      <alignment horizontal="center" shrinkToFit="0" wrapText="1"/>
    </xf>
    <xf borderId="163" fillId="6" fontId="12" numFmtId="0" xfId="0" applyAlignment="1" applyBorder="1" applyFont="1">
      <alignment horizontal="center" vertical="center"/>
    </xf>
    <xf borderId="163" fillId="6" fontId="12" numFmtId="0" xfId="0" applyAlignment="1" applyBorder="1" applyFont="1">
      <alignment horizontal="center" shrinkToFit="0" wrapText="1"/>
    </xf>
    <xf borderId="164" fillId="4" fontId="31" numFmtId="0" xfId="0" applyAlignment="1" applyBorder="1" applyFont="1">
      <alignment horizontal="center" shrinkToFit="0" wrapText="1"/>
    </xf>
    <xf borderId="165" fillId="0" fontId="7" numFmtId="0" xfId="0" applyBorder="1" applyFont="1"/>
    <xf borderId="166" fillId="0" fontId="7" numFmtId="0" xfId="0" applyBorder="1" applyFont="1"/>
    <xf borderId="167" fillId="0" fontId="7" numFmtId="0" xfId="0" applyBorder="1" applyFont="1"/>
    <xf borderId="168" fillId="0" fontId="7" numFmtId="0" xfId="0" applyBorder="1" applyFont="1"/>
    <xf borderId="99" fillId="9" fontId="38" numFmtId="0" xfId="0" applyAlignment="1" applyBorder="1" applyFont="1">
      <alignment shrinkToFit="0" wrapText="1"/>
    </xf>
    <xf borderId="60" fillId="11" fontId="35" numFmtId="0" xfId="0" applyAlignment="1" applyBorder="1" applyFont="1">
      <alignment horizontal="center" vertical="center"/>
    </xf>
    <xf borderId="19" fillId="11" fontId="35" numFmtId="0" xfId="0" applyAlignment="1" applyBorder="1" applyFont="1">
      <alignment horizontal="center" vertical="center"/>
    </xf>
    <xf borderId="169" fillId="11" fontId="35" numFmtId="0" xfId="0" applyAlignment="1" applyBorder="1" applyFont="1">
      <alignment horizontal="center" vertical="center"/>
    </xf>
    <xf borderId="123" fillId="11" fontId="29" numFmtId="0" xfId="0" applyAlignment="1" applyBorder="1" applyFont="1">
      <alignment horizontal="center" shrinkToFit="0" wrapText="1"/>
    </xf>
    <xf borderId="96" fillId="11" fontId="35" numFmtId="0" xfId="0" applyAlignment="1" applyBorder="1" applyFont="1">
      <alignment horizontal="center" vertical="center"/>
    </xf>
    <xf borderId="61" fillId="11" fontId="35" numFmtId="0" xfId="0" applyAlignment="1" applyBorder="1" applyFont="1">
      <alignment horizontal="center"/>
    </xf>
    <xf borderId="97" fillId="11" fontId="35" numFmtId="0" xfId="0" applyAlignment="1" applyBorder="1" applyFont="1">
      <alignment horizontal="center" vertical="center"/>
    </xf>
    <xf borderId="56" fillId="11" fontId="35" numFmtId="0" xfId="0" applyAlignment="1" applyBorder="1" applyFont="1">
      <alignment horizontal="center"/>
    </xf>
    <xf borderId="68" fillId="11" fontId="1" numFmtId="0" xfId="0" applyAlignment="1" applyBorder="1" applyFont="1">
      <alignment horizontal="center" vertical="center"/>
    </xf>
    <xf borderId="1" fillId="7" fontId="4" numFmtId="0" xfId="0" applyBorder="1" applyFont="1"/>
    <xf borderId="0" fillId="0" fontId="4" numFmtId="0" xfId="0" applyAlignment="1" applyFont="1">
      <alignment horizontal="left" vertical="center"/>
    </xf>
    <xf borderId="0" fillId="0" fontId="4" numFmtId="0" xfId="0" applyFont="1"/>
    <xf borderId="1" fillId="7" fontId="4" numFmtId="0" xfId="0" applyAlignment="1" applyBorder="1" applyFont="1">
      <alignment horizontal="left" vertical="center"/>
    </xf>
    <xf borderId="0" fillId="0" fontId="4" numFmtId="0" xfId="0" applyAlignment="1" applyFont="1">
      <alignment horizontal="center"/>
    </xf>
    <xf borderId="0" fillId="0" fontId="4" numFmtId="0" xfId="0" applyAlignment="1" applyFont="1">
      <alignment horizontal="center" vertical="center"/>
    </xf>
    <xf borderId="0" fillId="0" fontId="4" numFmtId="0" xfId="0" applyAlignment="1" applyFont="1">
      <alignment horizontal="left" readingOrder="0" vertical="center"/>
    </xf>
  </cellXfs>
  <cellStyles count="1">
    <cellStyle xfId="0" name="Normal" builtinId="0"/>
  </cellStyles>
  <dxfs count="6">
    <dxf>
      <font/>
      <fill>
        <patternFill patternType="solid">
          <fgColor rgb="FFFF2D2D"/>
          <bgColor rgb="FFFF2D2D"/>
        </patternFill>
      </fill>
      <border/>
    </dxf>
    <dxf>
      <font/>
      <fill>
        <patternFill patternType="solid">
          <fgColor rgb="FF00F26D"/>
          <bgColor rgb="FF00F26D"/>
        </patternFill>
      </fill>
      <border/>
    </dxf>
    <dxf>
      <font>
        <color rgb="FF9C0006"/>
      </font>
      <fill>
        <patternFill patternType="solid">
          <fgColor rgb="FFFFC7CE"/>
          <bgColor rgb="FFFFC7CE"/>
        </patternFill>
      </fill>
      <border/>
    </dxf>
    <dxf>
      <font>
        <b/>
        <color rgb="FFFF0000"/>
      </font>
      <fill>
        <patternFill patternType="none"/>
      </fill>
      <border/>
    </dxf>
    <dxf>
      <font/>
      <fill>
        <patternFill patternType="solid">
          <fgColor theme="1"/>
          <bgColor theme="1"/>
        </patternFill>
      </fill>
      <border/>
    </dxf>
    <dxf>
      <font/>
      <fill>
        <patternFill patternType="solid">
          <fgColor rgb="FFFF0000"/>
          <bgColor rgb="FFFF0000"/>
        </patternFill>
      </fill>
      <border>
        <left style="thin">
          <color rgb="FF000000"/>
        </left>
        <right style="thin">
          <color rgb="FF000000"/>
        </right>
        <top style="thin">
          <color rgb="FF000000"/>
        </top>
        <bottom style="thin">
          <color rgb="FF000000"/>
        </bottom>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1.png"/><Relationship Id="rId3" Type="http://schemas.openxmlformats.org/officeDocument/2006/relationships/image" Target="../media/image2.png"/><Relationship Id="rId4" Type="http://schemas.openxmlformats.org/officeDocument/2006/relationships/image" Target="../media/image3.png"/><Relationship Id="rId5" Type="http://schemas.openxmlformats.org/officeDocument/2006/relationships/image" Target="../media/image5.png"/><Relationship Id="rId6"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590550</xdr:colOff>
      <xdr:row>35</xdr:row>
      <xdr:rowOff>180975</xdr:rowOff>
    </xdr:from>
    <xdr:ext cx="6696075" cy="18669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28575</xdr:colOff>
      <xdr:row>6</xdr:row>
      <xdr:rowOff>171450</xdr:rowOff>
    </xdr:from>
    <xdr:ext cx="6467475" cy="1619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28575</xdr:colOff>
      <xdr:row>51</xdr:row>
      <xdr:rowOff>114300</xdr:rowOff>
    </xdr:from>
    <xdr:ext cx="6467475" cy="209550"/>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2000250</xdr:colOff>
      <xdr:row>57</xdr:row>
      <xdr:rowOff>95250</xdr:rowOff>
    </xdr:from>
    <xdr:ext cx="1152525" cy="1276350"/>
    <xdr:pic>
      <xdr:nvPicPr>
        <xdr:cNvPr id="0" name="image3.png"/>
        <xdr:cNvPicPr preferRelativeResize="0"/>
      </xdr:nvPicPr>
      <xdr:blipFill>
        <a:blip cstate="print" r:embed="rId4"/>
        <a:stretch>
          <a:fillRect/>
        </a:stretch>
      </xdr:blipFill>
      <xdr:spPr>
        <a:prstGeom prst="rect">
          <a:avLst/>
        </a:prstGeom>
        <a:noFill/>
      </xdr:spPr>
    </xdr:pic>
    <xdr:clientData fLocksWithSheet="0"/>
  </xdr:oneCellAnchor>
  <xdr:oneCellAnchor>
    <xdr:from>
      <xdr:col>1</xdr:col>
      <xdr:colOff>9525</xdr:colOff>
      <xdr:row>56</xdr:row>
      <xdr:rowOff>952500</xdr:rowOff>
    </xdr:from>
    <xdr:ext cx="6505575" cy="219075"/>
    <xdr:pic>
      <xdr:nvPicPr>
        <xdr:cNvPr id="0" name="image5.png"/>
        <xdr:cNvPicPr preferRelativeResize="0"/>
      </xdr:nvPicPr>
      <xdr:blipFill>
        <a:blip cstate="print" r:embed="rId5"/>
        <a:stretch>
          <a:fillRect/>
        </a:stretch>
      </xdr:blipFill>
      <xdr:spPr>
        <a:prstGeom prst="rect">
          <a:avLst/>
        </a:prstGeom>
        <a:noFill/>
      </xdr:spPr>
    </xdr:pic>
    <xdr:clientData fLocksWithSheet="0"/>
  </xdr:oneCellAnchor>
  <xdr:oneCellAnchor>
    <xdr:from>
      <xdr:col>0</xdr:col>
      <xdr:colOff>590550</xdr:colOff>
      <xdr:row>11</xdr:row>
      <xdr:rowOff>114300</xdr:rowOff>
    </xdr:from>
    <xdr:ext cx="4124325" cy="2771775"/>
    <xdr:pic>
      <xdr:nvPicPr>
        <xdr:cNvPr id="0" name="image6.png"/>
        <xdr:cNvPicPr preferRelativeResize="0"/>
      </xdr:nvPicPr>
      <xdr:blipFill>
        <a:blip cstate="print" r:embed="rId6"/>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03.86"/>
    <col customWidth="1" min="3" max="26" width="8.71"/>
  </cols>
  <sheetData>
    <row r="1" ht="12.0" customHeight="1">
      <c r="A1" s="1"/>
      <c r="B1" s="2"/>
      <c r="C1" s="1"/>
      <c r="D1" s="1"/>
      <c r="E1" s="1"/>
      <c r="F1" s="1"/>
      <c r="G1" s="1"/>
    </row>
    <row r="2" ht="12.0" customHeight="1">
      <c r="A2" s="1"/>
      <c r="B2" s="3" t="s">
        <v>0</v>
      </c>
      <c r="C2" s="4"/>
      <c r="D2" s="4"/>
      <c r="E2" s="1"/>
      <c r="F2" s="1"/>
      <c r="G2" s="1"/>
    </row>
    <row r="3" ht="12.0" customHeight="1">
      <c r="A3" s="1"/>
      <c r="B3" s="3"/>
      <c r="C3" s="4"/>
      <c r="D3" s="4"/>
      <c r="E3" s="1"/>
      <c r="F3" s="1"/>
      <c r="G3" s="1"/>
    </row>
    <row r="4" ht="12.0" customHeight="1">
      <c r="A4" s="1"/>
      <c r="B4" s="3" t="s">
        <v>1</v>
      </c>
      <c r="C4" s="4"/>
      <c r="D4" s="4"/>
      <c r="E4" s="1"/>
      <c r="F4" s="1"/>
      <c r="G4" s="1"/>
    </row>
    <row r="5" ht="12.0" customHeight="1">
      <c r="A5" s="1"/>
      <c r="B5" s="3"/>
      <c r="C5" s="4"/>
      <c r="D5" s="4"/>
      <c r="E5" s="1"/>
      <c r="F5" s="1"/>
      <c r="G5" s="1"/>
    </row>
    <row r="6" ht="12.0" customHeight="1">
      <c r="A6" s="1"/>
      <c r="B6" s="3" t="s">
        <v>2</v>
      </c>
      <c r="C6" s="4"/>
      <c r="D6" s="4"/>
      <c r="E6" s="1"/>
      <c r="F6" s="1"/>
      <c r="G6" s="1"/>
    </row>
    <row r="7" ht="12.0" customHeight="1">
      <c r="A7" s="1"/>
      <c r="B7" s="3"/>
      <c r="C7" s="4"/>
      <c r="D7" s="4"/>
      <c r="E7" s="1"/>
      <c r="F7" s="1"/>
      <c r="G7" s="1"/>
    </row>
    <row r="8" ht="12.0" customHeight="1">
      <c r="A8" s="1"/>
      <c r="B8" s="3"/>
      <c r="C8" s="4"/>
      <c r="D8" s="4"/>
      <c r="E8" s="1"/>
      <c r="F8" s="1"/>
      <c r="G8" s="1"/>
    </row>
    <row r="9" ht="12.0" customHeight="1">
      <c r="A9" s="1"/>
      <c r="B9" s="3"/>
      <c r="C9" s="4"/>
      <c r="D9" s="4"/>
      <c r="E9" s="1"/>
      <c r="F9" s="1"/>
      <c r="G9" s="1"/>
    </row>
    <row r="10" ht="12.0" customHeight="1">
      <c r="A10" s="1"/>
      <c r="B10" s="3" t="s">
        <v>3</v>
      </c>
      <c r="C10" s="4"/>
      <c r="D10" s="4"/>
      <c r="E10" s="1"/>
      <c r="F10" s="1"/>
      <c r="G10" s="1"/>
    </row>
    <row r="11" ht="12.0" customHeight="1">
      <c r="A11" s="1"/>
      <c r="B11" s="3"/>
      <c r="C11" s="4"/>
      <c r="D11" s="4"/>
      <c r="E11" s="1"/>
      <c r="F11" s="1"/>
      <c r="G11" s="1"/>
    </row>
    <row r="12" ht="12.0" customHeight="1">
      <c r="A12" s="1"/>
      <c r="B12" s="3"/>
      <c r="C12" s="4"/>
      <c r="D12" s="4"/>
      <c r="E12" s="1"/>
      <c r="F12" s="1"/>
      <c r="G12" s="1"/>
    </row>
    <row r="13" ht="12.0" customHeight="1">
      <c r="A13" s="1"/>
      <c r="B13" s="1"/>
      <c r="C13" s="4"/>
      <c r="D13" s="4"/>
      <c r="E13" s="1"/>
      <c r="F13" s="1"/>
      <c r="G13" s="1"/>
    </row>
    <row r="14" ht="12.0" customHeight="1">
      <c r="A14" s="1"/>
      <c r="B14" s="1"/>
      <c r="C14" s="4"/>
      <c r="D14" s="4"/>
      <c r="E14" s="1"/>
      <c r="F14" s="1"/>
      <c r="G14" s="1"/>
    </row>
    <row r="15" ht="12.0" customHeight="1">
      <c r="A15" s="1"/>
      <c r="B15" s="1"/>
      <c r="C15" s="4"/>
      <c r="D15" s="4"/>
      <c r="E15" s="1"/>
      <c r="F15" s="1"/>
      <c r="G15" s="1"/>
    </row>
    <row r="16" ht="12.0" customHeight="1">
      <c r="A16" s="1"/>
      <c r="B16" s="1"/>
      <c r="C16" s="4"/>
      <c r="D16" s="4"/>
      <c r="E16" s="1"/>
      <c r="F16" s="1"/>
      <c r="G16" s="1"/>
    </row>
    <row r="17" ht="12.0" customHeight="1">
      <c r="A17" s="1"/>
      <c r="B17" s="1"/>
      <c r="C17" s="4"/>
      <c r="D17" s="4"/>
      <c r="E17" s="1"/>
      <c r="F17" s="1"/>
      <c r="G17" s="1"/>
    </row>
    <row r="18" ht="12.0" customHeight="1">
      <c r="A18" s="1"/>
      <c r="B18" s="1"/>
      <c r="C18" s="4"/>
      <c r="D18" s="4"/>
      <c r="E18" s="1"/>
      <c r="F18" s="1"/>
      <c r="G18" s="1"/>
    </row>
    <row r="19" ht="12.0" customHeight="1">
      <c r="A19" s="1"/>
      <c r="B19" s="1"/>
      <c r="C19" s="4"/>
      <c r="D19" s="4"/>
      <c r="E19" s="1"/>
      <c r="F19" s="1"/>
      <c r="G19" s="1"/>
    </row>
    <row r="20" ht="12.0" customHeight="1">
      <c r="A20" s="1"/>
      <c r="B20" s="1"/>
      <c r="C20" s="4"/>
      <c r="D20" s="4"/>
      <c r="E20" s="1"/>
      <c r="F20" s="1"/>
      <c r="G20" s="1"/>
    </row>
    <row r="21" ht="12.0" customHeight="1">
      <c r="A21" s="1"/>
      <c r="B21" s="1"/>
      <c r="C21" s="4"/>
      <c r="D21" s="4"/>
      <c r="E21" s="1"/>
      <c r="F21" s="1"/>
      <c r="G21" s="1"/>
    </row>
    <row r="22" ht="12.0" customHeight="1">
      <c r="A22" s="1"/>
      <c r="B22" s="1"/>
      <c r="C22" s="4"/>
      <c r="D22" s="4"/>
      <c r="E22" s="1"/>
      <c r="F22" s="1"/>
      <c r="G22" s="1"/>
    </row>
    <row r="23" ht="12.0" customHeight="1">
      <c r="A23" s="1"/>
      <c r="B23" s="3"/>
      <c r="C23" s="4"/>
      <c r="D23" s="4"/>
      <c r="E23" s="1"/>
      <c r="F23" s="1"/>
      <c r="G23" s="1"/>
    </row>
    <row r="24" ht="12.0" customHeight="1">
      <c r="A24" s="1"/>
      <c r="B24" s="1"/>
      <c r="C24" s="4"/>
      <c r="D24" s="4"/>
      <c r="E24" s="1"/>
      <c r="F24" s="1"/>
      <c r="G24" s="1"/>
    </row>
    <row r="25" ht="12.0" customHeight="1">
      <c r="A25" s="1"/>
      <c r="B25" s="1"/>
      <c r="C25" s="4"/>
      <c r="D25" s="4"/>
      <c r="E25" s="1"/>
      <c r="F25" s="1"/>
      <c r="G25" s="1"/>
    </row>
    <row r="26" ht="12.0" customHeight="1">
      <c r="A26" s="1"/>
      <c r="B26" s="1"/>
      <c r="C26" s="4"/>
      <c r="D26" s="4"/>
      <c r="E26" s="1"/>
      <c r="F26" s="1"/>
      <c r="G26" s="1"/>
    </row>
    <row r="27" ht="12.0" customHeight="1">
      <c r="A27" s="1"/>
      <c r="B27" s="1"/>
      <c r="C27" s="4"/>
      <c r="D27" s="4"/>
      <c r="E27" s="1"/>
      <c r="F27" s="1"/>
      <c r="G27" s="1"/>
    </row>
    <row r="28" ht="12.0" customHeight="1">
      <c r="A28" s="1"/>
      <c r="B28" s="1"/>
      <c r="C28" s="4"/>
      <c r="D28" s="4"/>
      <c r="E28" s="1"/>
      <c r="F28" s="1"/>
      <c r="G28" s="1"/>
    </row>
    <row r="29" ht="12.0" customHeight="1">
      <c r="A29" s="1"/>
      <c r="B29" s="1"/>
      <c r="C29" s="4"/>
      <c r="D29" s="4"/>
      <c r="E29" s="1"/>
      <c r="F29" s="1"/>
      <c r="G29" s="1"/>
    </row>
    <row r="30" ht="12.0" customHeight="1">
      <c r="A30" s="1"/>
      <c r="B30" s="1"/>
      <c r="C30" s="4"/>
      <c r="D30" s="4"/>
      <c r="E30" s="1"/>
      <c r="F30" s="1"/>
      <c r="G30" s="1"/>
    </row>
    <row r="31" ht="12.0" customHeight="1">
      <c r="A31" s="1"/>
      <c r="B31" s="1"/>
      <c r="C31" s="4"/>
      <c r="D31" s="4"/>
      <c r="E31" s="1"/>
      <c r="F31" s="1"/>
      <c r="G31" s="1"/>
    </row>
    <row r="32" ht="12.0" customHeight="1">
      <c r="A32" s="1"/>
      <c r="B32" s="1"/>
      <c r="C32" s="4"/>
      <c r="D32" s="4"/>
      <c r="E32" s="1"/>
      <c r="F32" s="1"/>
      <c r="G32" s="1"/>
    </row>
    <row r="33" ht="12.0" customHeight="1">
      <c r="A33" s="1"/>
      <c r="B33" s="1"/>
      <c r="C33" s="4"/>
      <c r="D33" s="4"/>
      <c r="E33" s="1"/>
      <c r="F33" s="1"/>
      <c r="G33" s="1"/>
    </row>
    <row r="34" ht="12.0" customHeight="1">
      <c r="A34" s="1"/>
      <c r="B34" s="1"/>
      <c r="C34" s="4"/>
      <c r="D34" s="4"/>
      <c r="E34" s="1"/>
      <c r="F34" s="1"/>
      <c r="G34" s="1"/>
    </row>
    <row r="35" ht="12.0" customHeight="1">
      <c r="A35" s="1"/>
      <c r="B35" s="3" t="s">
        <v>4</v>
      </c>
      <c r="C35" s="1"/>
      <c r="D35" s="1"/>
      <c r="E35" s="1"/>
      <c r="F35" s="1"/>
      <c r="G35" s="1"/>
    </row>
    <row r="36" ht="12.0" customHeight="1">
      <c r="A36" s="1"/>
      <c r="B36" s="3"/>
      <c r="C36" s="1"/>
      <c r="D36" s="1"/>
      <c r="E36" s="1"/>
      <c r="F36" s="1"/>
      <c r="G36" s="1"/>
    </row>
    <row r="37" ht="12.0" customHeight="1">
      <c r="A37" s="1"/>
      <c r="B37" s="1"/>
      <c r="C37" s="1"/>
      <c r="D37" s="1"/>
      <c r="E37" s="1"/>
      <c r="F37" s="1"/>
      <c r="G37" s="1"/>
    </row>
    <row r="38" ht="12.0" customHeight="1">
      <c r="A38" s="1"/>
      <c r="B38" s="1"/>
      <c r="C38" s="1"/>
      <c r="D38" s="1"/>
      <c r="E38" s="1"/>
      <c r="F38" s="1"/>
      <c r="G38" s="1"/>
    </row>
    <row r="39" ht="12.0" customHeight="1">
      <c r="A39" s="1"/>
      <c r="B39" s="1"/>
      <c r="C39" s="1"/>
      <c r="D39" s="1"/>
      <c r="E39" s="1"/>
      <c r="F39" s="1"/>
      <c r="G39" s="1"/>
    </row>
    <row r="40" ht="12.0" customHeight="1">
      <c r="A40" s="1"/>
      <c r="B40" s="1"/>
      <c r="C40" s="1"/>
      <c r="D40" s="1"/>
      <c r="E40" s="1"/>
      <c r="F40" s="1"/>
      <c r="G40" s="1"/>
    </row>
    <row r="41" ht="12.0" customHeight="1">
      <c r="A41" s="1"/>
      <c r="B41" s="1"/>
      <c r="C41" s="1"/>
      <c r="D41" s="1"/>
      <c r="E41" s="1"/>
      <c r="F41" s="1"/>
      <c r="G41" s="1"/>
    </row>
    <row r="42" ht="12.0" customHeight="1">
      <c r="A42" s="1"/>
      <c r="B42" s="1"/>
      <c r="C42" s="1"/>
      <c r="D42" s="1"/>
      <c r="E42" s="1"/>
      <c r="F42" s="1"/>
      <c r="G42" s="1"/>
    </row>
    <row r="43" ht="12.0" customHeight="1">
      <c r="A43" s="1"/>
      <c r="B43" s="1"/>
      <c r="C43" s="1"/>
      <c r="D43" s="1"/>
      <c r="E43" s="1"/>
      <c r="F43" s="1"/>
      <c r="G43" s="1"/>
    </row>
    <row r="44" ht="12.0" customHeight="1">
      <c r="A44" s="1"/>
      <c r="B44" s="1"/>
      <c r="C44" s="1"/>
      <c r="D44" s="1"/>
      <c r="E44" s="1"/>
      <c r="F44" s="1"/>
      <c r="G44" s="1"/>
    </row>
    <row r="45" ht="12.0" customHeight="1">
      <c r="A45" s="1"/>
      <c r="B45" s="1"/>
      <c r="C45" s="1"/>
      <c r="D45" s="1"/>
      <c r="E45" s="1"/>
      <c r="F45" s="1"/>
      <c r="G45" s="1"/>
    </row>
    <row r="46" ht="12.0" customHeight="1">
      <c r="A46" s="1"/>
      <c r="B46" s="1"/>
      <c r="C46" s="1"/>
      <c r="D46" s="1"/>
      <c r="E46" s="1"/>
      <c r="F46" s="1"/>
      <c r="G46" s="1"/>
    </row>
    <row r="47" ht="12.0" customHeight="1">
      <c r="A47" s="1"/>
      <c r="B47" s="1"/>
      <c r="C47" s="1"/>
      <c r="D47" s="1"/>
      <c r="E47" s="1"/>
      <c r="F47" s="1"/>
      <c r="G47" s="1"/>
    </row>
    <row r="48" ht="12.0" customHeight="1">
      <c r="A48" s="1"/>
      <c r="B48" s="1"/>
      <c r="C48" s="1"/>
      <c r="D48" s="1"/>
      <c r="E48" s="1"/>
      <c r="F48" s="1"/>
      <c r="G48" s="1"/>
    </row>
    <row r="49" ht="12.0" customHeight="1">
      <c r="A49" s="1"/>
      <c r="B49" s="1"/>
      <c r="C49" s="1"/>
      <c r="D49" s="1"/>
      <c r="E49" s="1"/>
      <c r="F49" s="1"/>
      <c r="G49" s="1"/>
    </row>
    <row r="50" ht="12.0" customHeight="1">
      <c r="A50" s="1"/>
      <c r="B50" s="3"/>
      <c r="C50" s="1"/>
      <c r="D50" s="1"/>
      <c r="E50" s="1"/>
      <c r="F50" s="1"/>
      <c r="G50" s="1"/>
    </row>
    <row r="51" ht="12.0" customHeight="1">
      <c r="A51" s="1"/>
      <c r="B51" s="3" t="s">
        <v>5</v>
      </c>
      <c r="C51" s="1"/>
      <c r="D51" s="1"/>
      <c r="E51" s="1"/>
      <c r="F51" s="1"/>
      <c r="G51" s="1"/>
    </row>
    <row r="52" ht="12.0" customHeight="1">
      <c r="A52" s="1"/>
      <c r="B52" s="3"/>
      <c r="C52" s="1"/>
      <c r="D52" s="1"/>
      <c r="E52" s="1"/>
      <c r="F52" s="1"/>
      <c r="G52" s="1"/>
    </row>
    <row r="53" ht="12.0" customHeight="1">
      <c r="A53" s="1"/>
      <c r="B53" s="3"/>
      <c r="C53" s="1"/>
      <c r="D53" s="1"/>
      <c r="E53" s="1"/>
      <c r="F53" s="1"/>
      <c r="G53" s="1"/>
    </row>
    <row r="54" ht="12.0" customHeight="1">
      <c r="A54" s="1"/>
      <c r="B54" s="3"/>
      <c r="C54" s="1"/>
      <c r="D54" s="1"/>
      <c r="E54" s="1"/>
      <c r="F54" s="1"/>
      <c r="G54" s="1"/>
    </row>
    <row r="55" ht="12.0" customHeight="1">
      <c r="A55" s="1"/>
      <c r="B55" s="3" t="s">
        <v>6</v>
      </c>
      <c r="C55" s="1"/>
      <c r="D55" s="1"/>
      <c r="E55" s="1"/>
      <c r="F55" s="1"/>
      <c r="G55" s="1"/>
    </row>
    <row r="56" ht="12.0" customHeight="1">
      <c r="A56" s="1"/>
      <c r="B56" s="3"/>
      <c r="C56" s="1"/>
      <c r="D56" s="1"/>
      <c r="E56" s="1"/>
      <c r="F56" s="1"/>
      <c r="G56" s="1"/>
    </row>
    <row r="57" ht="12.0" customHeight="1">
      <c r="A57" s="1"/>
      <c r="B57" s="3" t="s">
        <v>7</v>
      </c>
      <c r="C57" s="1"/>
      <c r="D57" s="1"/>
      <c r="E57" s="1"/>
      <c r="F57" s="1"/>
      <c r="G57" s="1"/>
    </row>
    <row r="58" ht="12.0" customHeight="1">
      <c r="A58" s="1"/>
      <c r="B58" s="3"/>
      <c r="C58" s="1"/>
      <c r="D58" s="1"/>
      <c r="E58" s="1"/>
      <c r="F58" s="1"/>
      <c r="G58" s="1"/>
    </row>
    <row r="59" ht="12.0" customHeight="1">
      <c r="A59" s="1"/>
      <c r="B59" s="1"/>
      <c r="C59" s="1"/>
      <c r="D59" s="1"/>
      <c r="E59" s="1"/>
      <c r="F59" s="1"/>
      <c r="G59" s="1"/>
    </row>
    <row r="60" ht="12.0" customHeight="1">
      <c r="A60" s="1"/>
      <c r="B60" s="1"/>
      <c r="C60" s="1"/>
      <c r="D60" s="1"/>
      <c r="E60" s="1"/>
      <c r="F60" s="1"/>
      <c r="G60" s="1"/>
    </row>
    <row r="61" ht="12.0" customHeight="1">
      <c r="A61" s="1"/>
      <c r="B61" s="1"/>
      <c r="C61" s="1"/>
      <c r="D61" s="1"/>
      <c r="E61" s="1"/>
      <c r="F61" s="1"/>
      <c r="G61" s="1"/>
    </row>
    <row r="62" ht="12.0" customHeight="1">
      <c r="A62" s="1"/>
      <c r="B62" s="1"/>
      <c r="C62" s="1"/>
      <c r="D62" s="1"/>
      <c r="E62" s="1"/>
      <c r="F62" s="1"/>
      <c r="G62" s="1"/>
    </row>
    <row r="63" ht="12.0" customHeight="1">
      <c r="A63" s="1"/>
      <c r="B63" s="1"/>
      <c r="C63" s="1"/>
      <c r="D63" s="1"/>
      <c r="E63" s="1"/>
      <c r="F63" s="1"/>
      <c r="G63" s="1"/>
    </row>
    <row r="64" ht="12.0" customHeight="1">
      <c r="A64" s="1"/>
      <c r="B64" s="1"/>
      <c r="C64" s="1"/>
      <c r="D64" s="1"/>
      <c r="E64" s="1"/>
      <c r="F64" s="1"/>
      <c r="G64" s="1"/>
    </row>
    <row r="65" ht="12.0" customHeight="1">
      <c r="A65" s="1"/>
      <c r="B65" s="1"/>
      <c r="C65" s="1"/>
      <c r="D65" s="1"/>
      <c r="E65" s="1"/>
      <c r="F65" s="1"/>
      <c r="G65" s="1"/>
    </row>
    <row r="66" ht="12.0" customHeight="1">
      <c r="A66" s="1"/>
      <c r="B66" s="1"/>
      <c r="C66" s="1"/>
      <c r="D66" s="1"/>
      <c r="E66" s="1"/>
      <c r="F66" s="1"/>
      <c r="G66" s="1"/>
    </row>
    <row r="67" ht="12.0" customHeight="1">
      <c r="A67" s="1"/>
      <c r="B67" s="1"/>
      <c r="C67" s="1"/>
      <c r="D67" s="1"/>
      <c r="E67" s="1"/>
      <c r="F67" s="1"/>
      <c r="G67" s="1"/>
    </row>
    <row r="68" ht="12.0" customHeight="1">
      <c r="A68" s="1"/>
      <c r="B68" s="3" t="s">
        <v>8</v>
      </c>
      <c r="C68" s="1"/>
      <c r="D68" s="1"/>
      <c r="E68" s="1"/>
      <c r="F68" s="1"/>
      <c r="G68" s="1"/>
    </row>
    <row r="69" ht="12.0" customHeight="1">
      <c r="A69" s="1"/>
      <c r="B69" s="3"/>
      <c r="C69" s="1"/>
      <c r="D69" s="1"/>
      <c r="E69" s="1"/>
      <c r="F69" s="1"/>
      <c r="G69" s="1"/>
    </row>
    <row r="70" ht="12.0" customHeight="1">
      <c r="A70" s="1"/>
      <c r="B70" s="3"/>
      <c r="C70" s="1"/>
      <c r="D70" s="1"/>
      <c r="E70" s="1"/>
      <c r="F70" s="1"/>
      <c r="G70" s="1"/>
    </row>
    <row r="71" ht="12.0" customHeight="1">
      <c r="A71" s="1"/>
      <c r="B71" s="5" t="s">
        <v>9</v>
      </c>
      <c r="C71" s="1"/>
      <c r="D71" s="1"/>
      <c r="E71" s="1"/>
      <c r="F71" s="1"/>
      <c r="G71" s="1"/>
    </row>
    <row r="72" ht="12.0" customHeight="1">
      <c r="A72" s="1"/>
      <c r="B72" s="5" t="s">
        <v>10</v>
      </c>
      <c r="C72" s="1"/>
      <c r="D72" s="1"/>
      <c r="E72" s="1"/>
      <c r="F72" s="1"/>
      <c r="G72" s="1"/>
    </row>
    <row r="73" ht="12.0" customHeight="1">
      <c r="A73" s="1"/>
      <c r="B73" s="5" t="s">
        <v>11</v>
      </c>
      <c r="C73" s="1"/>
      <c r="D73" s="1"/>
      <c r="E73" s="1"/>
      <c r="F73" s="1"/>
      <c r="G73" s="1"/>
    </row>
    <row r="74" ht="12.0" customHeight="1">
      <c r="A74" s="1"/>
      <c r="B74" s="5" t="s">
        <v>12</v>
      </c>
      <c r="C74" s="1"/>
      <c r="D74" s="1"/>
      <c r="E74" s="1"/>
      <c r="F74" s="1"/>
      <c r="G74" s="1"/>
    </row>
    <row r="75" ht="12.0" customHeight="1">
      <c r="A75" s="1"/>
      <c r="B75" s="5" t="s">
        <v>13</v>
      </c>
      <c r="C75" s="1"/>
      <c r="D75" s="1"/>
      <c r="E75" s="1"/>
      <c r="F75" s="1"/>
      <c r="G75" s="1"/>
    </row>
    <row r="76" ht="12.0" customHeight="1">
      <c r="A76" s="1"/>
      <c r="B76" s="1"/>
      <c r="C76" s="1"/>
      <c r="D76" s="1"/>
      <c r="E76" s="1"/>
      <c r="F76" s="1"/>
      <c r="G76" s="1"/>
    </row>
    <row r="77" ht="12.0" customHeight="1">
      <c r="A77" s="1"/>
      <c r="B77" s="1"/>
      <c r="C77" s="1"/>
      <c r="D77" s="1"/>
      <c r="E77" s="1"/>
      <c r="F77" s="1"/>
      <c r="G77" s="1"/>
    </row>
    <row r="78" ht="12.0" customHeight="1">
      <c r="A78" s="1"/>
      <c r="B78" s="1"/>
      <c r="C78" s="1"/>
      <c r="D78" s="1"/>
      <c r="E78" s="1"/>
      <c r="F78" s="1"/>
      <c r="G78" s="1"/>
    </row>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21.57"/>
    <col customWidth="1" min="3" max="3" width="45.86"/>
    <col customWidth="1" min="4" max="26" width="8.71"/>
  </cols>
  <sheetData>
    <row r="1" ht="12.0" customHeight="1"/>
    <row r="2" ht="12.0" customHeight="1">
      <c r="B2" s="6" t="s">
        <v>14</v>
      </c>
    </row>
    <row r="3" ht="12.0" customHeight="1">
      <c r="B3" s="7">
        <v>6.0</v>
      </c>
      <c r="C3" s="8" t="s">
        <v>15</v>
      </c>
    </row>
    <row r="4" ht="12.0" customHeight="1"/>
    <row r="5" ht="12.0" customHeight="1"/>
    <row r="6" ht="12.0" customHeight="1">
      <c r="B6" s="9" t="s">
        <v>16</v>
      </c>
      <c r="C6" s="10"/>
    </row>
    <row r="7" ht="25.5" customHeight="1">
      <c r="B7" s="7" t="s">
        <v>17</v>
      </c>
      <c r="C7" s="7" t="s">
        <v>18</v>
      </c>
    </row>
    <row r="8" ht="25.5" customHeight="1">
      <c r="B8" s="7">
        <v>6.0</v>
      </c>
      <c r="C8" s="8" t="s">
        <v>15</v>
      </c>
    </row>
    <row r="9" ht="25.5" customHeight="1">
      <c r="B9" s="7">
        <v>5.0</v>
      </c>
      <c r="C9" s="8" t="s">
        <v>19</v>
      </c>
    </row>
    <row r="10" ht="12.0" customHeight="1">
      <c r="B10" s="7">
        <v>4.0</v>
      </c>
      <c r="C10" s="8" t="s">
        <v>20</v>
      </c>
    </row>
    <row r="11" ht="12.0" customHeight="1">
      <c r="B11" s="7">
        <v>3.0</v>
      </c>
      <c r="C11" s="11" t="s">
        <v>21</v>
      </c>
    </row>
    <row r="12" ht="12.0" customHeight="1">
      <c r="B12" s="7">
        <v>2.0</v>
      </c>
      <c r="C12" s="12" t="s">
        <v>22</v>
      </c>
    </row>
    <row r="13" ht="12.0" customHeight="1">
      <c r="B13" s="7">
        <v>1.0</v>
      </c>
      <c r="C13" s="12" t="s">
        <v>23</v>
      </c>
    </row>
    <row r="14" ht="12.0" customHeight="1"/>
    <row r="15" ht="12.0" customHeight="1"/>
    <row r="16" ht="12.0" customHeight="1"/>
    <row r="17" ht="12.0" customHeight="1"/>
    <row r="18" ht="12.0" customHeight="1"/>
    <row r="19" ht="12.0" customHeight="1"/>
    <row r="20" ht="12.0" customHeight="1"/>
    <row r="21" ht="12.0" customHeight="1"/>
    <row r="22" ht="12.0" customHeight="1"/>
    <row r="23" ht="12.0" customHeight="1"/>
    <row r="24" ht="12.0" customHeight="1"/>
    <row r="25" ht="12.0" customHeight="1"/>
    <row r="26" ht="12.0" customHeight="1"/>
    <row r="27" ht="12.0" customHeight="1"/>
    <row r="28" ht="12.0" customHeight="1"/>
    <row r="29" ht="12.0" customHeight="1"/>
    <row r="30" ht="12.0" customHeight="1"/>
    <row r="31" ht="12.0" customHeight="1"/>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1">
    <mergeCell ref="B6:C6"/>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43"/>
    <col customWidth="1" min="2" max="2" width="37.43"/>
    <col customWidth="1" min="3" max="3" width="15.57"/>
    <col customWidth="1" min="4" max="4" width="19.0"/>
    <col customWidth="1" min="5" max="5" width="13.86"/>
    <col customWidth="1" min="6" max="6" width="64.0"/>
    <col customWidth="1" min="7" max="7" width="27.29"/>
    <col customWidth="1" min="8" max="8" width="15.0"/>
    <col customWidth="1" min="9" max="9" width="14.0"/>
    <col customWidth="1" min="10" max="10" width="16.43"/>
    <col customWidth="1" min="11" max="11" width="47.57"/>
    <col customWidth="1" min="12" max="12" width="16.57"/>
    <col customWidth="1" min="13" max="13" width="10.0"/>
    <col customWidth="1" min="14" max="14" width="11.71"/>
    <col customWidth="1" min="15" max="16" width="4.71"/>
    <col customWidth="1" min="17" max="17" width="8.43"/>
    <col customWidth="1" min="18" max="21" width="4.71"/>
    <col customWidth="1" min="22" max="22" width="9.14"/>
    <col customWidth="1" min="23" max="42" width="8.71"/>
  </cols>
  <sheetData>
    <row r="1" ht="12.0" customHeight="1">
      <c r="A1" s="1"/>
      <c r="B1" s="2"/>
      <c r="C1" s="1"/>
      <c r="D1" s="1"/>
      <c r="E1" s="1"/>
      <c r="F1" s="1"/>
      <c r="G1" s="13"/>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ht="12.0" customHeight="1">
      <c r="A2" s="1"/>
      <c r="B2" s="1"/>
      <c r="C2" s="1"/>
      <c r="D2" s="1"/>
      <c r="E2" s="1"/>
      <c r="F2" s="1"/>
      <c r="G2" s="13"/>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ht="12.0" customHeight="1">
      <c r="A3" s="14"/>
      <c r="B3" s="15"/>
      <c r="C3" s="16" t="s">
        <v>24</v>
      </c>
      <c r="D3" s="16"/>
      <c r="E3" s="16"/>
      <c r="F3" s="16"/>
      <c r="G3" s="16"/>
      <c r="H3" s="17"/>
      <c r="I3" s="17"/>
      <c r="J3" s="17"/>
      <c r="K3" s="14"/>
      <c r="L3" s="14"/>
      <c r="M3" s="14"/>
      <c r="N3" s="14"/>
      <c r="O3" s="14"/>
      <c r="P3" s="14"/>
      <c r="Q3" s="14"/>
      <c r="R3" s="14"/>
      <c r="S3" s="14"/>
      <c r="T3" s="14"/>
      <c r="U3" s="14"/>
      <c r="V3" s="14"/>
      <c r="W3" s="17"/>
      <c r="X3" s="17"/>
      <c r="Y3" s="17"/>
      <c r="Z3" s="17"/>
      <c r="AA3" s="17"/>
      <c r="AB3" s="17"/>
      <c r="AC3" s="17"/>
      <c r="AD3" s="17"/>
      <c r="AE3" s="17"/>
      <c r="AF3" s="17"/>
      <c r="AG3" s="17"/>
      <c r="AH3" s="17"/>
      <c r="AI3" s="17"/>
      <c r="AJ3" s="17"/>
      <c r="AK3" s="17"/>
      <c r="AL3" s="17"/>
      <c r="AM3" s="17"/>
      <c r="AN3" s="17"/>
      <c r="AO3" s="15"/>
      <c r="AP3" s="15"/>
    </row>
    <row r="4" ht="12.0" customHeight="1">
      <c r="A4" s="18"/>
      <c r="B4" s="19"/>
      <c r="C4" s="20" t="s">
        <v>25</v>
      </c>
      <c r="D4" s="21"/>
      <c r="E4" s="21"/>
      <c r="F4" s="22"/>
      <c r="G4" s="23" t="s">
        <v>26</v>
      </c>
      <c r="H4" s="24"/>
      <c r="I4" s="24"/>
      <c r="J4" s="10"/>
      <c r="K4" s="18"/>
      <c r="L4" s="18"/>
      <c r="M4" s="18"/>
      <c r="N4" s="18"/>
      <c r="O4" s="18"/>
      <c r="P4" s="18"/>
      <c r="Q4" s="18"/>
      <c r="R4" s="18"/>
      <c r="S4" s="18"/>
      <c r="T4" s="18"/>
      <c r="U4" s="18"/>
      <c r="V4" s="18"/>
      <c r="W4" s="25"/>
      <c r="X4" s="25"/>
      <c r="Y4" s="25"/>
      <c r="Z4" s="25"/>
      <c r="AA4" s="26" t="s">
        <v>27</v>
      </c>
      <c r="AB4" s="25"/>
      <c r="AC4" s="1">
        <v>32.0</v>
      </c>
      <c r="AD4" s="25"/>
      <c r="AE4" s="1">
        <v>1500.0</v>
      </c>
      <c r="AF4" s="1">
        <v>1.0</v>
      </c>
      <c r="AG4" s="25"/>
      <c r="AH4" s="25"/>
      <c r="AI4" s="25"/>
      <c r="AJ4" s="25"/>
      <c r="AK4" s="25"/>
      <c r="AL4" s="25"/>
      <c r="AM4" s="25"/>
      <c r="AN4" s="25"/>
      <c r="AO4" s="19"/>
      <c r="AP4" s="19"/>
    </row>
    <row r="5" ht="12.0" customHeight="1">
      <c r="A5" s="1"/>
      <c r="B5" s="27"/>
      <c r="C5" s="21"/>
      <c r="D5" s="21"/>
      <c r="E5" s="21"/>
      <c r="F5" s="21"/>
      <c r="G5" s="21"/>
      <c r="H5" s="21"/>
      <c r="I5" s="21"/>
      <c r="J5" s="22"/>
      <c r="K5" s="1"/>
      <c r="L5" s="1"/>
      <c r="M5" s="1"/>
      <c r="N5" s="1"/>
      <c r="O5" s="1"/>
      <c r="P5" s="1"/>
      <c r="Q5" s="1"/>
      <c r="R5" s="1"/>
      <c r="S5" s="1"/>
      <c r="T5" s="1"/>
      <c r="U5" s="1"/>
      <c r="V5" s="1"/>
      <c r="W5" s="1"/>
      <c r="X5" s="1"/>
      <c r="Y5" s="1"/>
      <c r="Z5" s="1"/>
      <c r="AA5" s="26" t="s">
        <v>28</v>
      </c>
      <c r="AB5" s="1"/>
      <c r="AC5" s="1">
        <v>16.0</v>
      </c>
      <c r="AD5" s="1"/>
      <c r="AE5" s="1">
        <v>800.0</v>
      </c>
      <c r="AF5" s="1">
        <v>2.0</v>
      </c>
      <c r="AG5" s="1"/>
      <c r="AH5" s="1"/>
      <c r="AI5" s="1"/>
      <c r="AJ5" s="1"/>
      <c r="AK5" s="1"/>
      <c r="AL5" s="1"/>
      <c r="AM5" s="1"/>
      <c r="AN5" s="1"/>
      <c r="AO5" s="1"/>
      <c r="AP5" s="1"/>
    </row>
    <row r="6" ht="12.0" customHeight="1">
      <c r="A6" s="1"/>
      <c r="B6" s="28" t="s">
        <v>29</v>
      </c>
      <c r="C6" s="29"/>
      <c r="D6" s="29"/>
      <c r="E6" s="30"/>
      <c r="F6" s="28" t="s">
        <v>30</v>
      </c>
      <c r="G6" s="30"/>
      <c r="H6" s="31"/>
      <c r="I6" s="31"/>
      <c r="K6" s="1"/>
      <c r="L6" s="1"/>
      <c r="M6" s="1"/>
      <c r="N6" s="1"/>
      <c r="O6" s="1"/>
      <c r="P6" s="1"/>
      <c r="Q6" s="1"/>
      <c r="R6" s="1"/>
      <c r="S6" s="1"/>
      <c r="T6" s="1"/>
      <c r="U6" s="1"/>
      <c r="V6" s="1"/>
      <c r="AA6" s="26" t="s">
        <v>31</v>
      </c>
      <c r="AE6" s="32">
        <v>334.0</v>
      </c>
      <c r="AF6" s="32">
        <f>IF(C31=334, 2, 3)</f>
        <v>3</v>
      </c>
      <c r="AJ6" s="26"/>
      <c r="AK6" s="26"/>
      <c r="AN6" s="26"/>
      <c r="AO6" s="26"/>
    </row>
    <row r="7" ht="12.75" customHeight="1">
      <c r="A7" s="1"/>
      <c r="B7" s="33" t="s">
        <v>32</v>
      </c>
      <c r="E7" s="34"/>
      <c r="F7" s="35" t="s">
        <v>33</v>
      </c>
      <c r="G7" s="36"/>
      <c r="H7" s="31"/>
      <c r="I7" s="31"/>
      <c r="K7" s="1"/>
      <c r="L7" s="1"/>
      <c r="M7" s="1"/>
      <c r="N7" s="1"/>
      <c r="O7" s="1"/>
      <c r="P7" s="1"/>
      <c r="Q7" s="1"/>
      <c r="R7" s="1"/>
      <c r="S7" s="1"/>
      <c r="T7" s="1"/>
      <c r="U7" s="1"/>
      <c r="V7" s="1"/>
      <c r="AA7" s="26" t="s">
        <v>34</v>
      </c>
      <c r="AE7" s="1">
        <v>200.0</v>
      </c>
      <c r="AJ7" s="26"/>
      <c r="AK7" s="26"/>
      <c r="AN7" s="26"/>
      <c r="AO7" s="26"/>
    </row>
    <row r="8" ht="12.0" customHeight="1">
      <c r="A8" s="1"/>
      <c r="B8" s="37"/>
      <c r="E8" s="34"/>
      <c r="F8" s="38"/>
      <c r="G8" s="39"/>
      <c r="H8" s="31"/>
      <c r="I8" s="31"/>
      <c r="K8" s="1"/>
      <c r="L8" s="1"/>
      <c r="M8" s="1"/>
      <c r="N8" s="1"/>
      <c r="O8" s="1"/>
      <c r="P8" s="1"/>
      <c r="Q8" s="1"/>
      <c r="R8" s="1"/>
      <c r="S8" s="1"/>
      <c r="T8" s="1"/>
      <c r="U8" s="1"/>
      <c r="V8" s="1"/>
      <c r="AA8" s="26" t="s">
        <v>35</v>
      </c>
      <c r="AE8" s="32">
        <v>50.0</v>
      </c>
      <c r="AJ8" s="26"/>
      <c r="AK8" s="26"/>
      <c r="AN8" s="26"/>
      <c r="AO8" s="26"/>
    </row>
    <row r="9" ht="12.0" customHeight="1">
      <c r="A9" s="1"/>
      <c r="B9" s="37"/>
      <c r="E9" s="34"/>
      <c r="F9" s="35" t="s">
        <v>36</v>
      </c>
      <c r="G9" s="40"/>
      <c r="H9" s="31"/>
      <c r="I9" s="31"/>
      <c r="K9" s="1"/>
      <c r="L9" s="1"/>
      <c r="M9" s="1"/>
      <c r="N9" s="1"/>
      <c r="O9" s="1"/>
      <c r="P9" s="1"/>
      <c r="Q9" s="1"/>
      <c r="R9" s="1"/>
      <c r="S9" s="1"/>
      <c r="T9" s="1"/>
      <c r="U9" s="1"/>
      <c r="V9" s="1"/>
      <c r="AA9" s="26" t="s">
        <v>37</v>
      </c>
      <c r="AJ9" s="26"/>
      <c r="AK9" s="26"/>
      <c r="AL9" s="26"/>
      <c r="AN9" s="26"/>
      <c r="AO9" s="26"/>
    </row>
    <row r="10" ht="12.0" customHeight="1">
      <c r="A10" s="1"/>
      <c r="B10" s="37"/>
      <c r="E10" s="34"/>
      <c r="F10" s="38"/>
      <c r="G10" s="39"/>
      <c r="H10" s="31"/>
      <c r="I10" s="31"/>
      <c r="K10" s="1"/>
      <c r="L10" s="1"/>
      <c r="M10" s="1"/>
      <c r="N10" s="1"/>
      <c r="O10" s="1"/>
      <c r="P10" s="1"/>
      <c r="Q10" s="1"/>
      <c r="R10" s="1"/>
      <c r="S10" s="1"/>
      <c r="T10" s="1"/>
      <c r="U10" s="1"/>
      <c r="V10" s="1"/>
      <c r="AA10" s="26" t="s">
        <v>38</v>
      </c>
      <c r="AJ10" s="26"/>
      <c r="AK10" s="26"/>
      <c r="AL10" s="26"/>
      <c r="AN10" s="26"/>
      <c r="AO10" s="26"/>
    </row>
    <row r="11" ht="12.0" customHeight="1">
      <c r="A11" s="1"/>
      <c r="B11" s="37"/>
      <c r="E11" s="34"/>
      <c r="F11" s="41" t="s">
        <v>39</v>
      </c>
      <c r="G11" s="42" t="s">
        <v>40</v>
      </c>
      <c r="H11" s="31"/>
      <c r="I11" s="31"/>
      <c r="K11" s="1"/>
      <c r="L11" s="1"/>
      <c r="M11" s="1"/>
      <c r="N11" s="1"/>
      <c r="O11" s="1"/>
      <c r="P11" s="1"/>
      <c r="Q11" s="1"/>
      <c r="R11" s="1"/>
      <c r="S11" s="1"/>
      <c r="T11" s="1"/>
      <c r="U11" s="1"/>
      <c r="V11" s="1"/>
      <c r="AJ11" s="26"/>
      <c r="AK11" s="26"/>
      <c r="AL11" s="26"/>
      <c r="AN11" s="26"/>
      <c r="AO11" s="26"/>
    </row>
    <row r="12" ht="12.0" customHeight="1">
      <c r="A12" s="1"/>
      <c r="B12" s="37"/>
      <c r="E12" s="34"/>
      <c r="F12" s="41" t="s">
        <v>41</v>
      </c>
      <c r="G12" s="43"/>
      <c r="H12" s="31"/>
      <c r="I12" s="31"/>
      <c r="K12" s="1"/>
      <c r="L12" s="1"/>
      <c r="M12" s="1"/>
      <c r="N12" s="1"/>
      <c r="O12" s="1"/>
      <c r="P12" s="1"/>
      <c r="Q12" s="1"/>
      <c r="R12" s="1"/>
      <c r="S12" s="1"/>
      <c r="T12" s="1"/>
      <c r="U12" s="1"/>
      <c r="V12" s="1"/>
      <c r="AJ12" s="26"/>
      <c r="AK12" s="26"/>
      <c r="AL12" s="26"/>
      <c r="AN12" s="26"/>
      <c r="AO12" s="26"/>
    </row>
    <row r="13" ht="12.0" customHeight="1">
      <c r="A13" s="1"/>
      <c r="B13" s="37"/>
      <c r="E13" s="34"/>
      <c r="F13" s="35" t="s">
        <v>42</v>
      </c>
      <c r="G13" s="44"/>
      <c r="H13" s="31"/>
      <c r="I13" s="31"/>
      <c r="K13" s="1"/>
      <c r="L13" s="1"/>
      <c r="M13" s="1"/>
      <c r="N13" s="1"/>
      <c r="O13" s="1"/>
      <c r="P13" s="1"/>
      <c r="Q13" s="1"/>
      <c r="R13" s="1"/>
      <c r="S13" s="1"/>
      <c r="T13" s="1"/>
      <c r="U13" s="1"/>
      <c r="V13" s="1"/>
      <c r="AJ13" s="45"/>
      <c r="AN13" s="26"/>
      <c r="AO13" s="26"/>
    </row>
    <row r="14" ht="12.0" customHeight="1">
      <c r="A14" s="1"/>
      <c r="B14" s="46"/>
      <c r="C14" s="47"/>
      <c r="D14" s="47"/>
      <c r="E14" s="48"/>
      <c r="F14" s="49"/>
      <c r="G14" s="50"/>
      <c r="H14" s="31"/>
      <c r="I14" s="31"/>
      <c r="K14" s="1"/>
      <c r="L14" s="1"/>
      <c r="M14" s="1"/>
      <c r="N14" s="1"/>
      <c r="O14" s="1"/>
      <c r="P14" s="1"/>
      <c r="Q14" s="1"/>
      <c r="R14" s="1"/>
      <c r="S14" s="1"/>
      <c r="T14" s="1"/>
      <c r="U14" s="1"/>
      <c r="V14" s="1"/>
      <c r="AJ14" s="1"/>
      <c r="AN14" s="45"/>
      <c r="AO14" s="45"/>
    </row>
    <row r="15" ht="12.0" customHeight="1">
      <c r="A15" s="1"/>
      <c r="B15" s="1"/>
      <c r="C15" s="1"/>
      <c r="D15" s="1"/>
      <c r="E15" s="31"/>
      <c r="F15" s="1"/>
      <c r="G15" s="31"/>
      <c r="H15" s="31"/>
      <c r="I15" s="31"/>
      <c r="J15" s="1"/>
      <c r="K15" s="1"/>
      <c r="L15" s="1"/>
      <c r="M15" s="1"/>
      <c r="N15" s="1"/>
      <c r="O15" s="1"/>
      <c r="P15" s="1"/>
      <c r="Q15" s="1"/>
      <c r="R15" s="1"/>
      <c r="S15" s="1"/>
      <c r="T15" s="1"/>
      <c r="U15" s="1"/>
      <c r="V15" s="1"/>
      <c r="W15" s="1"/>
      <c r="X15" s="1"/>
      <c r="Y15" s="1"/>
      <c r="Z15" s="1"/>
      <c r="AA15" s="1"/>
      <c r="AB15" s="1"/>
      <c r="AC15" s="1"/>
      <c r="AD15" s="1"/>
      <c r="AE15" s="1"/>
      <c r="AF15" s="1"/>
      <c r="AG15" s="1"/>
      <c r="AH15" s="1"/>
      <c r="AI15" s="1"/>
      <c r="AK15" s="1"/>
      <c r="AL15" s="1"/>
      <c r="AM15" s="1"/>
      <c r="AN15" s="1"/>
      <c r="AO15" s="1"/>
      <c r="AP15" s="1"/>
    </row>
    <row r="16" ht="15.75" customHeight="1">
      <c r="A16" s="1"/>
      <c r="B16" s="28" t="s">
        <v>43</v>
      </c>
      <c r="C16" s="29"/>
      <c r="D16" s="51"/>
      <c r="E16" s="31"/>
      <c r="F16" s="31"/>
      <c r="G16" s="52"/>
      <c r="H16" s="53" t="s">
        <v>44</v>
      </c>
      <c r="I16" s="53" t="s">
        <v>45</v>
      </c>
      <c r="J16" s="54" t="s">
        <v>46</v>
      </c>
      <c r="K16" s="55" t="s">
        <v>47</v>
      </c>
      <c r="L16" s="56"/>
      <c r="M16" s="1"/>
      <c r="N16" s="52"/>
      <c r="O16" s="52"/>
      <c r="P16" s="52"/>
      <c r="Q16" s="52"/>
      <c r="R16" s="52"/>
      <c r="S16" s="52"/>
      <c r="T16" s="52"/>
      <c r="U16" s="52"/>
      <c r="V16" s="52"/>
      <c r="W16" s="52"/>
      <c r="X16" s="52"/>
      <c r="Y16" s="52"/>
    </row>
    <row r="17" ht="12.75" customHeight="1">
      <c r="A17" s="1"/>
      <c r="B17" s="57" t="s">
        <v>48</v>
      </c>
      <c r="C17" s="58" t="s">
        <v>34</v>
      </c>
      <c r="D17" s="59"/>
      <c r="E17" s="31"/>
      <c r="F17" s="31"/>
      <c r="G17" s="52"/>
      <c r="H17" s="60"/>
      <c r="I17" s="60"/>
      <c r="J17" s="60"/>
      <c r="K17" s="61"/>
      <c r="L17" s="62"/>
      <c r="M17" s="1"/>
      <c r="N17" s="52"/>
      <c r="O17" s="52"/>
      <c r="P17" s="52"/>
      <c r="Q17" s="52"/>
      <c r="R17" s="52"/>
      <c r="S17" s="52"/>
      <c r="T17" s="52"/>
      <c r="U17" s="52"/>
      <c r="V17" s="52"/>
      <c r="W17" s="52"/>
      <c r="X17" s="52"/>
      <c r="Y17" s="52"/>
    </row>
    <row r="18" ht="12.75" customHeight="1">
      <c r="A18" s="1"/>
      <c r="B18" s="57" t="s">
        <v>49</v>
      </c>
      <c r="C18" s="63" t="s">
        <v>50</v>
      </c>
      <c r="D18" s="59"/>
      <c r="E18" s="31"/>
      <c r="F18" s="31"/>
      <c r="G18" s="52"/>
      <c r="H18" s="60"/>
      <c r="I18" s="60"/>
      <c r="J18" s="60"/>
      <c r="K18" s="61"/>
      <c r="L18" s="62"/>
      <c r="M18" s="1"/>
      <c r="N18" s="52"/>
      <c r="O18" s="52"/>
      <c r="P18" s="52"/>
      <c r="Q18" s="52"/>
      <c r="R18" s="52"/>
      <c r="S18" s="52"/>
      <c r="T18" s="52"/>
      <c r="U18" s="52"/>
      <c r="V18" s="52"/>
      <c r="W18" s="52"/>
      <c r="X18" s="52"/>
      <c r="Y18" s="52"/>
    </row>
    <row r="19" ht="12.75" customHeight="1">
      <c r="A19" s="1"/>
      <c r="B19" s="57" t="s">
        <v>51</v>
      </c>
      <c r="C19" s="63" t="s">
        <v>52</v>
      </c>
      <c r="D19" s="59"/>
      <c r="E19" s="31"/>
      <c r="F19" s="31"/>
      <c r="G19" s="52"/>
      <c r="H19" s="60"/>
      <c r="I19" s="60"/>
      <c r="J19" s="60"/>
      <c r="K19" s="61"/>
      <c r="L19" s="62"/>
      <c r="M19" s="1"/>
      <c r="N19" s="52"/>
      <c r="O19" s="52"/>
      <c r="P19" s="52"/>
      <c r="Q19" s="52"/>
      <c r="R19" s="52"/>
      <c r="S19" s="52"/>
      <c r="T19" s="52"/>
      <c r="U19" s="52"/>
      <c r="V19" s="52"/>
      <c r="W19" s="52"/>
      <c r="X19" s="52"/>
      <c r="Y19" s="52"/>
    </row>
    <row r="20" ht="12.0" customHeight="1">
      <c r="A20" s="1"/>
      <c r="B20" s="64" t="s">
        <v>53</v>
      </c>
      <c r="C20" s="65">
        <v>16.0</v>
      </c>
      <c r="D20" s="66"/>
      <c r="E20" s="31"/>
      <c r="F20" s="31"/>
      <c r="G20" s="52"/>
      <c r="H20" s="60"/>
      <c r="I20" s="60"/>
      <c r="J20" s="60"/>
      <c r="K20" s="61"/>
      <c r="L20" s="62"/>
      <c r="M20" s="1"/>
      <c r="N20" s="52"/>
      <c r="O20" s="52"/>
      <c r="P20" s="52"/>
      <c r="Q20" s="52"/>
      <c r="R20" s="52"/>
      <c r="S20" s="52"/>
      <c r="T20" s="52"/>
      <c r="U20" s="52"/>
      <c r="V20" s="52"/>
      <c r="W20" s="52"/>
      <c r="X20" s="52"/>
      <c r="Y20" s="52"/>
    </row>
    <row r="21" ht="14.25" customHeight="1">
      <c r="A21" s="1"/>
      <c r="B21" s="57" t="s">
        <v>54</v>
      </c>
      <c r="C21" s="67">
        <f>IF(C28=32, 2, 1)</f>
        <v>2</v>
      </c>
      <c r="D21" s="66"/>
      <c r="E21" s="31"/>
      <c r="F21" s="31"/>
      <c r="G21" s="52"/>
      <c r="H21" s="60"/>
      <c r="I21" s="60"/>
      <c r="J21" s="60"/>
      <c r="K21" s="61"/>
      <c r="L21" s="62"/>
      <c r="M21" s="1"/>
      <c r="N21" s="52"/>
      <c r="O21" s="52"/>
      <c r="P21" s="52"/>
      <c r="Q21" s="52"/>
      <c r="R21" s="52"/>
      <c r="S21" s="52"/>
      <c r="T21" s="52"/>
      <c r="U21" s="52"/>
      <c r="V21" s="52"/>
      <c r="W21" s="52"/>
      <c r="X21" s="52"/>
      <c r="Y21" s="52"/>
    </row>
    <row r="22" ht="14.25" customHeight="1">
      <c r="A22" s="1"/>
      <c r="B22" s="57" t="s">
        <v>55</v>
      </c>
      <c r="C22" s="68">
        <v>1.0</v>
      </c>
      <c r="D22" s="69"/>
      <c r="E22" s="31"/>
      <c r="F22" s="31"/>
      <c r="G22" s="52"/>
      <c r="H22" s="60"/>
      <c r="I22" s="60"/>
      <c r="J22" s="60"/>
      <c r="K22" s="61"/>
      <c r="L22" s="62"/>
      <c r="M22" s="1"/>
      <c r="N22" s="52"/>
      <c r="O22" s="52"/>
      <c r="P22" s="52"/>
      <c r="Q22" s="52"/>
      <c r="R22" s="52"/>
      <c r="S22" s="52"/>
      <c r="T22" s="52"/>
      <c r="U22" s="52"/>
      <c r="V22" s="52"/>
      <c r="W22" s="52"/>
      <c r="X22" s="52"/>
      <c r="Y22" s="52"/>
    </row>
    <row r="23" ht="12.0" customHeight="1">
      <c r="A23" s="1"/>
      <c r="B23" s="57" t="s">
        <v>56</v>
      </c>
      <c r="C23" s="67">
        <f>(C20*C21*C22)</f>
        <v>32</v>
      </c>
      <c r="D23" s="66"/>
      <c r="E23" s="31"/>
      <c r="F23" s="31"/>
      <c r="G23" s="52"/>
      <c r="H23" s="60"/>
      <c r="I23" s="60"/>
      <c r="J23" s="60"/>
      <c r="K23" s="61"/>
      <c r="L23" s="62"/>
      <c r="M23" s="1"/>
      <c r="N23" s="52"/>
      <c r="O23" s="52"/>
      <c r="P23" s="52"/>
      <c r="Q23" s="52"/>
      <c r="R23" s="52"/>
      <c r="S23" s="52"/>
      <c r="T23" s="52"/>
      <c r="U23" s="52"/>
      <c r="V23" s="52"/>
      <c r="W23" s="52"/>
      <c r="X23" s="52"/>
      <c r="Y23" s="52"/>
    </row>
    <row r="24" ht="14.25" customHeight="1">
      <c r="A24" s="1"/>
      <c r="B24" s="57" t="s">
        <v>57</v>
      </c>
      <c r="C24" s="70">
        <v>17.0</v>
      </c>
      <c r="D24" s="59"/>
      <c r="E24" s="31"/>
      <c r="F24" s="31"/>
      <c r="G24" s="52"/>
      <c r="H24" s="60"/>
      <c r="I24" s="60"/>
      <c r="J24" s="60"/>
      <c r="K24" s="61"/>
      <c r="L24" s="62"/>
      <c r="M24" s="1"/>
      <c r="N24" s="52"/>
      <c r="O24" s="52"/>
      <c r="P24" s="52"/>
      <c r="Q24" s="52"/>
      <c r="R24" s="52"/>
      <c r="S24" s="52"/>
      <c r="T24" s="52"/>
      <c r="U24" s="52"/>
      <c r="V24" s="52"/>
      <c r="W24" s="52"/>
      <c r="X24" s="52"/>
      <c r="Y24" s="52"/>
    </row>
    <row r="25" ht="14.25" customHeight="1">
      <c r="A25" s="1"/>
      <c r="B25" s="57" t="s">
        <v>58</v>
      </c>
      <c r="C25" s="70">
        <v>10.0</v>
      </c>
      <c r="D25" s="59"/>
      <c r="E25" s="31"/>
      <c r="F25" s="31"/>
      <c r="G25" s="52"/>
      <c r="H25" s="60"/>
      <c r="I25" s="60"/>
      <c r="J25" s="60"/>
      <c r="K25" s="61"/>
      <c r="L25" s="62"/>
      <c r="M25" s="1"/>
      <c r="N25" s="52"/>
      <c r="O25" s="52"/>
      <c r="P25" s="52"/>
      <c r="Q25" s="52"/>
      <c r="R25" s="52"/>
      <c r="S25" s="52"/>
      <c r="T25" s="52"/>
      <c r="U25" s="52"/>
      <c r="V25" s="52"/>
      <c r="W25" s="52"/>
      <c r="X25" s="52"/>
      <c r="Y25" s="52"/>
    </row>
    <row r="26" ht="14.25" customHeight="1">
      <c r="A26" s="1"/>
      <c r="B26" s="57" t="s">
        <v>59</v>
      </c>
      <c r="C26" s="71">
        <v>3.0</v>
      </c>
      <c r="D26" s="59"/>
      <c r="E26" s="31"/>
      <c r="F26" s="72" t="s">
        <v>60</v>
      </c>
      <c r="G26" s="73"/>
      <c r="H26" s="74"/>
      <c r="I26" s="74"/>
      <c r="J26" s="74"/>
      <c r="K26" s="75"/>
      <c r="L26" s="76"/>
      <c r="M26" s="1"/>
      <c r="N26" s="52"/>
      <c r="O26" s="52"/>
      <c r="P26" s="52"/>
      <c r="Q26" s="52"/>
      <c r="R26" s="52"/>
      <c r="S26" s="52"/>
      <c r="T26" s="52"/>
      <c r="U26" s="52"/>
      <c r="V26" s="52"/>
      <c r="W26" s="52"/>
      <c r="X26" s="52"/>
      <c r="Y26" s="52"/>
    </row>
    <row r="27" ht="12.0" customHeight="1">
      <c r="A27" s="1"/>
      <c r="B27" s="57" t="s">
        <v>61</v>
      </c>
      <c r="C27" s="67">
        <f>(2^C26)</f>
        <v>8</v>
      </c>
      <c r="D27" s="66"/>
      <c r="E27" s="31"/>
      <c r="F27" s="77" t="s">
        <v>62</v>
      </c>
      <c r="G27" s="78" t="s">
        <v>38</v>
      </c>
      <c r="H27" s="79">
        <v>1.0</v>
      </c>
      <c r="I27" s="80" t="s">
        <v>37</v>
      </c>
      <c r="J27" s="81" t="s">
        <v>38</v>
      </c>
      <c r="K27" s="82" t="s">
        <v>38</v>
      </c>
      <c r="L27" s="10"/>
      <c r="M27" s="1"/>
      <c r="N27" s="52"/>
      <c r="O27" s="52"/>
      <c r="P27" s="52"/>
      <c r="Q27" s="52"/>
      <c r="R27" s="52"/>
      <c r="S27" s="52"/>
      <c r="T27" s="52"/>
      <c r="U27" s="52"/>
      <c r="V27" s="52"/>
      <c r="W27" s="52"/>
      <c r="X27" s="52"/>
      <c r="Y27" s="52"/>
    </row>
    <row r="28" ht="14.25" customHeight="1">
      <c r="A28" s="1"/>
      <c r="B28" s="57" t="s">
        <v>63</v>
      </c>
      <c r="C28" s="70">
        <v>32.0</v>
      </c>
      <c r="D28" s="59"/>
      <c r="E28" s="31"/>
      <c r="F28" s="83"/>
      <c r="G28" s="83"/>
      <c r="H28" s="31"/>
      <c r="I28" s="31"/>
      <c r="J28" s="1"/>
      <c r="K28" s="1"/>
      <c r="L28" s="1"/>
      <c r="M28" s="1"/>
      <c r="N28" s="1"/>
      <c r="O28" s="1"/>
      <c r="P28" s="1"/>
      <c r="Q28" s="1"/>
      <c r="R28" s="1"/>
      <c r="S28" s="1"/>
      <c r="T28" s="1"/>
      <c r="U28" s="1"/>
      <c r="V28" s="1"/>
    </row>
    <row r="29" ht="14.25" customHeight="1">
      <c r="A29" s="1"/>
      <c r="B29" s="57" t="s">
        <v>64</v>
      </c>
      <c r="C29" s="70">
        <v>2000.0</v>
      </c>
      <c r="D29" s="59"/>
      <c r="E29" s="31"/>
      <c r="F29" s="83"/>
      <c r="G29" s="83"/>
      <c r="H29" s="31"/>
      <c r="I29" s="31"/>
      <c r="J29" s="84"/>
      <c r="K29" s="84"/>
      <c r="L29" s="84"/>
      <c r="M29" s="85"/>
      <c r="N29" s="1"/>
      <c r="O29" s="1"/>
      <c r="P29" s="1"/>
      <c r="Q29" s="1"/>
      <c r="R29" s="1"/>
      <c r="S29" s="1"/>
      <c r="T29" s="1"/>
      <c r="U29" s="1"/>
      <c r="V29" s="1"/>
    </row>
    <row r="30" ht="15.75" customHeight="1">
      <c r="A30" s="1"/>
      <c r="B30" s="86" t="s">
        <v>65</v>
      </c>
      <c r="C30" s="87">
        <f>(1/C29)*1000</f>
        <v>0.5</v>
      </c>
      <c r="D30" s="88"/>
      <c r="E30" s="31"/>
      <c r="F30" s="89" t="s">
        <v>66</v>
      </c>
      <c r="G30" s="90" t="s">
        <v>67</v>
      </c>
      <c r="H30" s="91"/>
      <c r="I30" s="91"/>
      <c r="J30" s="91"/>
      <c r="K30" s="56"/>
      <c r="L30" s="84"/>
      <c r="M30" s="85"/>
      <c r="N30" s="1"/>
      <c r="O30" s="1"/>
      <c r="P30" s="1"/>
      <c r="Q30" s="1"/>
      <c r="R30" s="1"/>
      <c r="S30" s="1"/>
      <c r="T30" s="1"/>
      <c r="U30" s="1"/>
      <c r="V30" s="1"/>
      <c r="AJ30" s="1"/>
    </row>
    <row r="31" ht="12.0" customHeight="1">
      <c r="A31" s="1"/>
      <c r="B31" s="92" t="s">
        <v>68</v>
      </c>
      <c r="C31" s="93">
        <v>200.0</v>
      </c>
      <c r="D31" s="94"/>
      <c r="E31" s="31"/>
      <c r="F31" s="95"/>
      <c r="G31" s="61"/>
      <c r="K31" s="62"/>
      <c r="L31" s="84"/>
      <c r="M31" s="85"/>
      <c r="N31" s="1"/>
      <c r="O31" s="1"/>
      <c r="P31" s="1"/>
      <c r="Q31" s="1"/>
      <c r="R31" s="1"/>
      <c r="S31" s="1"/>
      <c r="T31" s="1"/>
      <c r="U31" s="1"/>
      <c r="V31" s="1"/>
      <c r="AJ31" s="1"/>
    </row>
    <row r="32" ht="12.0" customHeight="1">
      <c r="A32" s="1"/>
      <c r="B32" s="96" t="s">
        <v>69</v>
      </c>
      <c r="C32" s="97">
        <f>(1/C31)*1000</f>
        <v>5</v>
      </c>
      <c r="D32" s="98"/>
      <c r="E32" s="31"/>
      <c r="F32" s="99">
        <v>2.0</v>
      </c>
      <c r="G32" s="61"/>
      <c r="K32" s="62"/>
      <c r="L32" s="84"/>
      <c r="M32" s="85"/>
      <c r="N32" s="1"/>
      <c r="O32" s="1"/>
      <c r="P32" s="1"/>
      <c r="Q32" s="1"/>
      <c r="R32" s="1"/>
      <c r="S32" s="1"/>
      <c r="T32" s="1"/>
      <c r="U32" s="1"/>
      <c r="V32" s="1"/>
      <c r="AJ32" s="1"/>
    </row>
    <row r="33" ht="12.0" customHeight="1">
      <c r="A33" s="1"/>
      <c r="B33" s="100" t="s">
        <v>70</v>
      </c>
      <c r="C33" s="101">
        <v>50.0</v>
      </c>
      <c r="D33" s="102"/>
      <c r="E33" s="31"/>
      <c r="F33" s="83"/>
      <c r="G33" s="61"/>
      <c r="K33" s="62"/>
      <c r="L33" s="84"/>
      <c r="M33" s="85"/>
      <c r="N33" s="1"/>
      <c r="O33" s="1"/>
      <c r="P33" s="1"/>
      <c r="Q33" s="1"/>
      <c r="R33" s="1"/>
      <c r="S33" s="1"/>
      <c r="T33" s="1"/>
      <c r="U33" s="1"/>
      <c r="V33" s="1"/>
      <c r="AJ33" s="1"/>
    </row>
    <row r="34" ht="15.0" customHeight="1">
      <c r="A34" s="1"/>
      <c r="B34" s="96" t="s">
        <v>71</v>
      </c>
      <c r="C34" s="97">
        <f>ROUNDDOWN((1/C33)*1000, 3)</f>
        <v>20</v>
      </c>
      <c r="D34" s="98"/>
      <c r="E34" s="31"/>
      <c r="F34" s="83"/>
      <c r="G34" s="61"/>
      <c r="K34" s="62"/>
      <c r="L34" s="84"/>
      <c r="M34" s="85"/>
      <c r="N34" s="1"/>
      <c r="O34" s="1"/>
      <c r="P34" s="1"/>
      <c r="Q34" s="1"/>
      <c r="R34" s="1"/>
      <c r="S34" s="1"/>
      <c r="T34" s="1"/>
      <c r="U34" s="1"/>
      <c r="V34" s="1"/>
      <c r="AJ34" s="1"/>
    </row>
    <row r="35" ht="12.0" customHeight="1">
      <c r="A35" s="1"/>
      <c r="B35" s="26" t="s">
        <v>72</v>
      </c>
      <c r="C35" s="103" t="s">
        <v>73</v>
      </c>
      <c r="E35" s="31"/>
      <c r="G35" s="61"/>
      <c r="K35" s="62"/>
      <c r="L35" s="84"/>
      <c r="M35" s="85"/>
      <c r="N35" s="1"/>
      <c r="O35" s="1"/>
      <c r="P35" s="1"/>
      <c r="Q35" s="1"/>
      <c r="R35" s="1"/>
      <c r="S35" s="1"/>
      <c r="T35" s="1"/>
      <c r="U35" s="1"/>
      <c r="V35" s="1"/>
      <c r="AJ35" s="1"/>
    </row>
    <row r="36" ht="15.0" customHeight="1">
      <c r="A36" s="1"/>
      <c r="B36" s="26" t="s">
        <v>74</v>
      </c>
      <c r="C36" s="103" t="s">
        <v>75</v>
      </c>
      <c r="E36" s="31"/>
      <c r="G36" s="61"/>
      <c r="K36" s="62"/>
      <c r="L36" s="84"/>
      <c r="M36" s="85"/>
      <c r="N36" s="1"/>
      <c r="O36" s="1"/>
      <c r="P36" s="1"/>
      <c r="Q36" s="1"/>
      <c r="R36" s="1"/>
      <c r="S36" s="1"/>
      <c r="T36" s="1"/>
      <c r="U36" s="1"/>
      <c r="V36" s="1"/>
      <c r="AJ36" s="1"/>
    </row>
    <row r="37" ht="12.0" customHeight="1">
      <c r="A37" s="1"/>
      <c r="B37" s="26" t="s">
        <v>76</v>
      </c>
      <c r="C37" s="103" t="s">
        <v>77</v>
      </c>
      <c r="E37" s="31"/>
      <c r="F37" s="26"/>
      <c r="G37" s="61"/>
      <c r="K37" s="62"/>
      <c r="L37" s="84"/>
      <c r="M37" s="85"/>
      <c r="N37" s="1"/>
      <c r="O37" s="1"/>
      <c r="P37" s="1"/>
      <c r="Q37" s="1"/>
      <c r="R37" s="1"/>
      <c r="S37" s="1"/>
      <c r="T37" s="1"/>
      <c r="U37" s="1"/>
      <c r="V37" s="1"/>
      <c r="AJ37" s="1"/>
    </row>
    <row r="38" ht="12.0" customHeight="1">
      <c r="A38" s="1"/>
      <c r="B38" s="26"/>
      <c r="C38" s="104"/>
      <c r="E38" s="31"/>
      <c r="F38" s="1"/>
      <c r="G38" s="61"/>
      <c r="K38" s="62"/>
      <c r="L38" s="84"/>
      <c r="M38" s="85"/>
      <c r="N38" s="1"/>
      <c r="O38" s="1"/>
      <c r="P38" s="1"/>
      <c r="Q38" s="1"/>
      <c r="R38" s="1"/>
      <c r="S38" s="1"/>
      <c r="T38" s="1"/>
      <c r="U38" s="1"/>
      <c r="V38" s="1"/>
      <c r="AJ38" s="1"/>
    </row>
    <row r="39" ht="24.0" customHeight="1">
      <c r="A39" s="1"/>
      <c r="B39" s="105" t="s">
        <v>78</v>
      </c>
      <c r="F39" s="1"/>
      <c r="G39" s="75"/>
      <c r="H39" s="106"/>
      <c r="I39" s="106"/>
      <c r="J39" s="106"/>
      <c r="K39" s="76"/>
      <c r="L39" s="84"/>
      <c r="M39" s="85"/>
      <c r="N39" s="1"/>
      <c r="O39" s="1"/>
      <c r="P39" s="1"/>
      <c r="Q39" s="1"/>
      <c r="R39" s="1"/>
      <c r="S39" s="1"/>
      <c r="T39" s="1"/>
      <c r="U39" s="1"/>
      <c r="V39" s="1"/>
      <c r="AJ39" s="1"/>
    </row>
    <row r="40" ht="12.0" customHeight="1">
      <c r="A40" s="1"/>
      <c r="B40" s="105" t="s">
        <v>79</v>
      </c>
      <c r="F40" s="1"/>
      <c r="G40" s="107" t="s">
        <v>80</v>
      </c>
      <c r="H40" s="24"/>
      <c r="I40" s="24"/>
      <c r="J40" s="24"/>
      <c r="K40" s="10"/>
      <c r="L40" s="85"/>
      <c r="M40" s="85"/>
      <c r="N40" s="1"/>
      <c r="O40" s="1"/>
      <c r="P40" s="1"/>
      <c r="Q40" s="1"/>
      <c r="R40" s="1"/>
      <c r="S40" s="1"/>
      <c r="T40" s="1"/>
      <c r="U40" s="1"/>
      <c r="V40" s="1"/>
      <c r="AJ40" s="1"/>
    </row>
    <row r="41" ht="23.25" customHeight="1">
      <c r="A41" s="1"/>
      <c r="B41" s="108" t="s">
        <v>81</v>
      </c>
      <c r="E41" s="31"/>
      <c r="F41" s="1"/>
      <c r="G41" s="31"/>
      <c r="H41" s="31"/>
      <c r="I41" s="31"/>
      <c r="J41" s="1"/>
      <c r="K41" s="1"/>
      <c r="L41" s="109"/>
      <c r="M41" s="109"/>
      <c r="N41" s="1"/>
      <c r="O41" s="1"/>
      <c r="P41" s="1"/>
      <c r="Q41" s="1"/>
      <c r="R41" s="1"/>
      <c r="S41" s="1"/>
      <c r="T41" s="1"/>
      <c r="U41" s="1"/>
      <c r="V41" s="1"/>
      <c r="AJ41" s="1"/>
    </row>
    <row r="42" ht="12.0" customHeight="1">
      <c r="A42" s="109"/>
      <c r="B42" s="109"/>
      <c r="C42" s="109"/>
      <c r="D42" s="109"/>
      <c r="E42" s="110"/>
      <c r="F42" s="109"/>
      <c r="G42" s="109"/>
      <c r="H42" s="109"/>
      <c r="I42" s="109"/>
      <c r="J42" s="109"/>
      <c r="K42" s="109"/>
      <c r="L42" s="1"/>
      <c r="M42" s="1"/>
      <c r="N42" s="109"/>
      <c r="O42" s="109"/>
      <c r="P42" s="109"/>
      <c r="Q42" s="109"/>
      <c r="R42" s="109"/>
      <c r="S42" s="109"/>
      <c r="T42" s="109"/>
      <c r="U42" s="109"/>
      <c r="V42" s="109"/>
      <c r="W42" s="109"/>
      <c r="X42" s="109"/>
      <c r="Y42" s="109"/>
      <c r="Z42" s="109"/>
      <c r="AA42" s="109"/>
      <c r="AB42" s="109"/>
      <c r="AC42" s="109"/>
      <c r="AD42" s="109"/>
      <c r="AE42" s="109"/>
      <c r="AF42" s="109"/>
      <c r="AG42" s="109"/>
      <c r="AH42" s="109"/>
      <c r="AI42" s="26"/>
      <c r="AJ42" s="109"/>
      <c r="AK42" s="109"/>
      <c r="AL42" s="109"/>
      <c r="AM42" s="109"/>
      <c r="AN42" s="109"/>
      <c r="AO42" s="109"/>
      <c r="AP42" s="109"/>
    </row>
    <row r="43" ht="12.0" customHeight="1">
      <c r="A43" s="1"/>
      <c r="B43" s="111" t="s">
        <v>82</v>
      </c>
      <c r="C43" s="111" t="s">
        <v>83</v>
      </c>
      <c r="D43" s="111" t="s">
        <v>84</v>
      </c>
      <c r="E43" s="111" t="s">
        <v>85</v>
      </c>
      <c r="F43" s="112" t="s">
        <v>86</v>
      </c>
      <c r="G43" s="113" t="s">
        <v>87</v>
      </c>
      <c r="H43" s="111" t="s">
        <v>88</v>
      </c>
      <c r="I43" s="111" t="s">
        <v>89</v>
      </c>
      <c r="J43" s="1"/>
      <c r="K43" s="1"/>
      <c r="L43" s="1"/>
      <c r="M43" s="1"/>
      <c r="N43" s="1"/>
      <c r="O43" s="1"/>
      <c r="P43" s="1"/>
      <c r="Q43" s="1"/>
      <c r="R43" s="1"/>
      <c r="S43" s="1"/>
      <c r="T43" s="1"/>
      <c r="U43" s="1"/>
      <c r="V43" s="1"/>
      <c r="AJ43" s="1"/>
    </row>
    <row r="44" ht="3.0" customHeight="1">
      <c r="A44" s="1"/>
      <c r="B44" s="114"/>
      <c r="C44" s="114"/>
      <c r="D44" s="114"/>
      <c r="E44" s="114"/>
      <c r="F44" s="115"/>
      <c r="G44" s="114"/>
      <c r="H44" s="114"/>
      <c r="I44" s="114"/>
      <c r="J44" s="1"/>
      <c r="K44" s="1"/>
      <c r="L44" s="1"/>
      <c r="M44" s="1"/>
      <c r="N44" s="1"/>
      <c r="O44" s="1"/>
      <c r="P44" s="1"/>
      <c r="Q44" s="1"/>
      <c r="R44" s="1"/>
      <c r="S44" s="1"/>
      <c r="T44" s="1"/>
      <c r="U44" s="1"/>
      <c r="V44" s="1"/>
      <c r="AJ44" s="1"/>
    </row>
    <row r="45" ht="12.0" customHeight="1">
      <c r="A45" s="1"/>
      <c r="B45" s="116" t="s">
        <v>90</v>
      </c>
      <c r="C45" s="117" t="s">
        <v>91</v>
      </c>
      <c r="D45" s="118">
        <v>2.0</v>
      </c>
      <c r="E45" s="119" t="str">
        <f>DEC2HEX(((D45)*2^30),8)</f>
        <v>80000000</v>
      </c>
      <c r="F45" s="120" t="s">
        <v>92</v>
      </c>
      <c r="G45" s="121" t="s">
        <v>93</v>
      </c>
      <c r="H45" s="121" t="str">
        <f>"0x"&amp;DEC2HEX((HEX2DEC(C35)), 8)</f>
        <v>0x3D400000</v>
      </c>
      <c r="I45" s="122" t="str">
        <f>"0x"&amp;DEC2HEX((HEX2DEC(E45)+HEX2DEC(E46)+HEX2DEC(E47)+HEX2DEC(E48)+HEX2DEC(E49)+HEX2DEC(E50)+HEX2DEC(E51)+HEX2DEC(E52)+HEX2DEC(E53)+HEX2DEC(E54)+HEX2DEC(E55)+HEX2DEC(E56)+HEX2DEC(E57)),8)</f>
        <v>0xA1080020</v>
      </c>
      <c r="J45" s="1"/>
      <c r="K45" s="1"/>
      <c r="L45" s="1"/>
      <c r="M45" s="1"/>
      <c r="N45" s="1"/>
      <c r="O45" s="1"/>
      <c r="P45" s="1"/>
      <c r="Q45" s="1"/>
      <c r="R45" s="1"/>
      <c r="S45" s="1"/>
      <c r="T45" s="1"/>
      <c r="U45" s="1"/>
      <c r="V45" s="1"/>
      <c r="AJ45" s="1"/>
    </row>
    <row r="46" ht="48.0" customHeight="1">
      <c r="A46" s="1"/>
      <c r="B46" s="123" t="s">
        <v>94</v>
      </c>
      <c r="C46" s="124" t="s">
        <v>91</v>
      </c>
      <c r="D46" s="125">
        <v>1.0</v>
      </c>
      <c r="E46" s="126" t="str">
        <f>DEC2HEX(((D46)*2^29),8)</f>
        <v>20000000</v>
      </c>
      <c r="F46" s="127" t="s">
        <v>95</v>
      </c>
      <c r="G46" s="60"/>
      <c r="H46" s="60"/>
      <c r="I46" s="34"/>
      <c r="J46" s="1"/>
      <c r="K46" s="1"/>
      <c r="L46" s="1"/>
      <c r="M46" s="1"/>
      <c r="N46" s="1"/>
      <c r="O46" s="1"/>
      <c r="P46" s="1"/>
      <c r="Q46" s="1"/>
      <c r="R46" s="1"/>
      <c r="S46" s="1"/>
      <c r="T46" s="1"/>
      <c r="U46" s="1"/>
      <c r="V46" s="1"/>
      <c r="AJ46" s="1"/>
    </row>
    <row r="47" ht="12.0" customHeight="1">
      <c r="A47" s="26"/>
      <c r="B47" s="128" t="s">
        <v>96</v>
      </c>
      <c r="C47" s="124" t="s">
        <v>91</v>
      </c>
      <c r="D47" s="129">
        <f>IF(C22=1, 1, 3)</f>
        <v>1</v>
      </c>
      <c r="E47" s="130" t="str">
        <f>DEC2HEX(((D47)*2^24),8)</f>
        <v>01000000</v>
      </c>
      <c r="F47" s="131" t="s">
        <v>97</v>
      </c>
      <c r="G47" s="60"/>
      <c r="H47" s="60"/>
      <c r="I47" s="34"/>
      <c r="J47" s="1"/>
      <c r="K47" s="1"/>
      <c r="L47" s="1"/>
      <c r="M47" s="1"/>
      <c r="N47" s="1"/>
      <c r="O47" s="1"/>
      <c r="P47" s="1"/>
      <c r="Q47" s="1"/>
      <c r="R47" s="1"/>
      <c r="S47" s="1"/>
      <c r="T47" s="1"/>
      <c r="U47" s="1"/>
      <c r="V47" s="1"/>
    </row>
    <row r="48" ht="111.0" customHeight="1">
      <c r="A48" s="1"/>
      <c r="B48" s="128" t="s">
        <v>98</v>
      </c>
      <c r="C48" s="132" t="s">
        <v>91</v>
      </c>
      <c r="D48" s="133">
        <f>IF(C17="LPDDR2",2,(IF(C17="LPDDR4",8,4)))</f>
        <v>8</v>
      </c>
      <c r="E48" s="130" t="str">
        <f>DEC2HEX(((D48)*2^16),8)</f>
        <v>00080000</v>
      </c>
      <c r="F48" s="131" t="s">
        <v>99</v>
      </c>
      <c r="G48" s="60"/>
      <c r="H48" s="60"/>
      <c r="I48" s="34"/>
      <c r="J48" s="134"/>
      <c r="K48" s="1"/>
      <c r="L48" s="1"/>
      <c r="M48" s="1"/>
      <c r="N48" s="1"/>
      <c r="O48" s="1"/>
      <c r="P48" s="1"/>
      <c r="Q48" s="1"/>
      <c r="R48" s="1"/>
      <c r="S48" s="1"/>
      <c r="T48" s="1"/>
      <c r="U48" s="1"/>
      <c r="V48" s="1"/>
    </row>
    <row r="49" ht="61.5" customHeight="1">
      <c r="A49" s="1"/>
      <c r="B49" s="128" t="s">
        <v>100</v>
      </c>
      <c r="C49" s="132" t="s">
        <v>91</v>
      </c>
      <c r="D49" s="132">
        <v>0.0</v>
      </c>
      <c r="E49" s="130" t="str">
        <f>DEC2HEX(((D49)*2^15),8)</f>
        <v>00000000</v>
      </c>
      <c r="F49" s="131" t="s">
        <v>101</v>
      </c>
      <c r="G49" s="60"/>
      <c r="H49" s="60"/>
      <c r="I49" s="34"/>
      <c r="J49" s="1"/>
      <c r="K49" s="1"/>
      <c r="L49" s="1"/>
      <c r="M49" s="1"/>
      <c r="N49" s="1"/>
      <c r="O49" s="1"/>
      <c r="P49" s="1"/>
      <c r="Q49" s="1"/>
      <c r="R49" s="1"/>
      <c r="S49" s="1"/>
      <c r="T49" s="1"/>
      <c r="U49" s="1"/>
      <c r="V49" s="1"/>
    </row>
    <row r="50" ht="12.0" customHeight="1">
      <c r="A50" s="1"/>
      <c r="B50" s="128" t="s">
        <v>102</v>
      </c>
      <c r="C50" s="132" t="s">
        <v>91</v>
      </c>
      <c r="D50" s="132">
        <f>IF(C28= 32, 0, 1)</f>
        <v>0</v>
      </c>
      <c r="E50" s="130" t="str">
        <f>DEC2HEX(((D50)*2^12),8)</f>
        <v>00000000</v>
      </c>
      <c r="F50" s="131" t="s">
        <v>103</v>
      </c>
      <c r="G50" s="60"/>
      <c r="H50" s="60"/>
      <c r="I50" s="34"/>
      <c r="J50" s="1"/>
      <c r="K50" s="1"/>
      <c r="L50" s="1"/>
      <c r="M50" s="1"/>
      <c r="N50" s="1"/>
      <c r="O50" s="1"/>
      <c r="P50" s="1"/>
      <c r="Q50" s="1"/>
      <c r="R50" s="1"/>
      <c r="S50" s="1"/>
      <c r="T50" s="1"/>
      <c r="U50" s="1"/>
      <c r="V50" s="1"/>
    </row>
    <row r="51" ht="12.0" customHeight="1">
      <c r="A51" s="1"/>
      <c r="B51" s="128" t="s">
        <v>104</v>
      </c>
      <c r="C51" s="132" t="s">
        <v>91</v>
      </c>
      <c r="D51" s="132">
        <v>0.0</v>
      </c>
      <c r="E51" s="130" t="str">
        <f>DEC2HEX(((D51)*2^9),8)</f>
        <v>00000000</v>
      </c>
      <c r="F51" s="131" t="s">
        <v>105</v>
      </c>
      <c r="G51" s="60"/>
      <c r="H51" s="60"/>
      <c r="I51" s="34"/>
      <c r="J51" s="1"/>
      <c r="K51" s="1"/>
      <c r="L51" s="1"/>
      <c r="M51" s="1"/>
      <c r="N51" s="1"/>
      <c r="O51" s="1"/>
      <c r="P51" s="1"/>
      <c r="Q51" s="1"/>
      <c r="R51" s="1"/>
      <c r="S51" s="1"/>
      <c r="T51" s="1"/>
      <c r="U51" s="1"/>
      <c r="V51" s="1"/>
    </row>
    <row r="52" ht="12.0" customHeight="1">
      <c r="A52" s="1"/>
      <c r="B52" s="128" t="s">
        <v>106</v>
      </c>
      <c r="C52" s="132" t="s">
        <v>91</v>
      </c>
      <c r="D52" s="132">
        <v>0.0</v>
      </c>
      <c r="E52" s="130" t="str">
        <f>DEC2HEX(((D52)*2^8),8)</f>
        <v>00000000</v>
      </c>
      <c r="F52" s="131" t="s">
        <v>107</v>
      </c>
      <c r="G52" s="60"/>
      <c r="H52" s="60"/>
      <c r="I52" s="34"/>
      <c r="J52" s="1"/>
      <c r="K52" s="1"/>
      <c r="L52" s="1"/>
      <c r="M52" s="1"/>
      <c r="N52" s="1"/>
      <c r="O52" s="1"/>
      <c r="P52" s="1"/>
      <c r="Q52" s="1"/>
      <c r="R52" s="1"/>
      <c r="S52" s="1"/>
      <c r="T52" s="1"/>
      <c r="U52" s="1"/>
      <c r="V52" s="1"/>
    </row>
    <row r="53" ht="12.0" customHeight="1">
      <c r="A53" s="1"/>
      <c r="B53" s="128" t="s">
        <v>34</v>
      </c>
      <c r="C53" s="132" t="s">
        <v>91</v>
      </c>
      <c r="D53" s="129">
        <f>IF(C17 = "lpddr4",1,0)</f>
        <v>1</v>
      </c>
      <c r="E53" s="130" t="str">
        <f>DEC2HEX(((D53)*2^5),8)</f>
        <v>00000020</v>
      </c>
      <c r="F53" s="131" t="s">
        <v>108</v>
      </c>
      <c r="G53" s="60"/>
      <c r="H53" s="60"/>
      <c r="I53" s="34"/>
      <c r="J53" s="1"/>
      <c r="K53" s="1"/>
      <c r="L53" s="1"/>
      <c r="M53" s="1"/>
      <c r="N53" s="1"/>
      <c r="O53" s="1"/>
      <c r="P53" s="1"/>
      <c r="Q53" s="1"/>
      <c r="R53" s="1"/>
      <c r="S53" s="1"/>
      <c r="T53" s="1"/>
      <c r="U53" s="1"/>
      <c r="V53" s="1"/>
    </row>
    <row r="54" ht="12.0" customHeight="1">
      <c r="A54" s="1"/>
      <c r="B54" s="128" t="s">
        <v>35</v>
      </c>
      <c r="C54" s="132" t="s">
        <v>91</v>
      </c>
      <c r="D54" s="129">
        <f>IF(C17 = "ddr4",1,0)</f>
        <v>0</v>
      </c>
      <c r="E54" s="130" t="str">
        <f>DEC2HEX(((D54)*2^4),8)</f>
        <v>00000000</v>
      </c>
      <c r="F54" s="131" t="s">
        <v>109</v>
      </c>
      <c r="G54" s="60"/>
      <c r="H54" s="60"/>
      <c r="I54" s="34"/>
      <c r="J54" s="1"/>
      <c r="K54" s="1"/>
      <c r="L54" s="1"/>
      <c r="M54" s="1"/>
      <c r="N54" s="1"/>
      <c r="O54" s="1"/>
      <c r="P54" s="1"/>
      <c r="Q54" s="1"/>
      <c r="R54" s="1"/>
      <c r="S54" s="1"/>
      <c r="T54" s="1"/>
      <c r="U54" s="1"/>
      <c r="V54" s="1"/>
    </row>
    <row r="55" ht="12.0" customHeight="1">
      <c r="A55" s="1"/>
      <c r="B55" s="128" t="s">
        <v>28</v>
      </c>
      <c r="C55" s="132" t="s">
        <v>91</v>
      </c>
      <c r="D55" s="129">
        <f>IF(C17 = "lpddr3",1,0)</f>
        <v>0</v>
      </c>
      <c r="E55" s="130" t="str">
        <f>DEC2HEX(((D55)*2^3),8)</f>
        <v>00000000</v>
      </c>
      <c r="F55" s="131" t="s">
        <v>110</v>
      </c>
      <c r="G55" s="60"/>
      <c r="H55" s="60"/>
      <c r="I55" s="34"/>
      <c r="J55" s="1"/>
      <c r="K55" s="1"/>
      <c r="L55" s="1"/>
      <c r="M55" s="1"/>
      <c r="N55" s="1"/>
      <c r="O55" s="1"/>
      <c r="P55" s="1"/>
      <c r="Q55" s="1"/>
      <c r="R55" s="1"/>
      <c r="S55" s="1"/>
      <c r="T55" s="1"/>
      <c r="U55" s="1"/>
      <c r="V55" s="1"/>
    </row>
    <row r="56" ht="12.0" customHeight="1">
      <c r="A56" s="1"/>
      <c r="B56" s="128" t="s">
        <v>27</v>
      </c>
      <c r="C56" s="132" t="s">
        <v>91</v>
      </c>
      <c r="D56" s="129">
        <f>IF(C17 = "lpddr2",1,0)</f>
        <v>0</v>
      </c>
      <c r="E56" s="130" t="str">
        <f>DEC2HEX(((D56)*2^2),8)</f>
        <v>00000000</v>
      </c>
      <c r="F56" s="131" t="s">
        <v>111</v>
      </c>
      <c r="G56" s="60"/>
      <c r="H56" s="60"/>
      <c r="I56" s="34"/>
      <c r="J56" s="1"/>
      <c r="K56" s="1"/>
      <c r="L56" s="1"/>
      <c r="M56" s="1"/>
      <c r="N56" s="1"/>
      <c r="O56" s="1"/>
      <c r="P56" s="1"/>
      <c r="Q56" s="1"/>
      <c r="R56" s="1"/>
      <c r="S56" s="1"/>
      <c r="T56" s="1"/>
      <c r="U56" s="1"/>
      <c r="V56" s="1"/>
    </row>
    <row r="57" ht="12.0" customHeight="1">
      <c r="A57" s="1"/>
      <c r="B57" s="135" t="s">
        <v>31</v>
      </c>
      <c r="C57" s="136" t="s">
        <v>91</v>
      </c>
      <c r="D57" s="137">
        <f>IF(C17 = "ddr3",1,0)</f>
        <v>0</v>
      </c>
      <c r="E57" s="138" t="str">
        <f>DEC2HEX(((D57)*2^0),8)</f>
        <v>00000000</v>
      </c>
      <c r="F57" s="139" t="s">
        <v>112</v>
      </c>
      <c r="G57" s="140"/>
      <c r="H57" s="140"/>
      <c r="I57" s="48"/>
      <c r="J57" s="1"/>
      <c r="K57" s="1"/>
      <c r="L57" s="1"/>
      <c r="M57" s="1"/>
      <c r="N57" s="1"/>
      <c r="O57" s="1"/>
      <c r="P57" s="1"/>
      <c r="Q57" s="1"/>
      <c r="R57" s="1"/>
      <c r="S57" s="1"/>
      <c r="T57" s="1"/>
      <c r="U57" s="1"/>
      <c r="V57" s="1"/>
    </row>
    <row r="58" ht="12.0" customHeight="1">
      <c r="A58" s="1"/>
      <c r="B58" s="109"/>
      <c r="C58" s="109"/>
      <c r="D58" s="141"/>
      <c r="E58" s="142"/>
      <c r="F58" s="143"/>
      <c r="G58" s="109"/>
      <c r="H58" s="109"/>
      <c r="I58" s="109"/>
      <c r="J58" s="1"/>
      <c r="K58" s="1"/>
      <c r="L58" s="1"/>
      <c r="M58" s="1"/>
      <c r="N58" s="1"/>
      <c r="O58" s="1"/>
      <c r="P58" s="1"/>
      <c r="Q58" s="1"/>
      <c r="R58" s="1"/>
      <c r="S58" s="1"/>
      <c r="T58" s="1"/>
      <c r="U58" s="1"/>
      <c r="V58" s="1"/>
    </row>
    <row r="59" ht="12.0" customHeight="1">
      <c r="A59" s="1"/>
      <c r="B59" s="144" t="s">
        <v>113</v>
      </c>
      <c r="C59" s="145" t="s">
        <v>91</v>
      </c>
      <c r="D59" s="146">
        <v>0.0</v>
      </c>
      <c r="E59" s="147" t="str">
        <f>DEC2HEX(((D59)*2^0),8)</f>
        <v>00000000</v>
      </c>
      <c r="F59" s="148" t="s">
        <v>114</v>
      </c>
      <c r="G59" s="149" t="s">
        <v>115</v>
      </c>
      <c r="H59" s="149" t="str">
        <f>"0x"&amp;DEC2HEX((HEX2DEC(C35) + 40), 8)</f>
        <v>0x3D400028</v>
      </c>
      <c r="I59" s="150" t="str">
        <f>"0x"&amp;DEC2HEX((HEX2DEC(E59)), 8)</f>
        <v>0x00000000</v>
      </c>
      <c r="J59" s="1"/>
      <c r="K59" s="1"/>
      <c r="L59" s="1"/>
      <c r="M59" s="1"/>
      <c r="N59" s="1"/>
      <c r="O59" s="1"/>
      <c r="P59" s="1"/>
      <c r="Q59" s="1"/>
      <c r="R59" s="1"/>
      <c r="S59" s="1"/>
      <c r="T59" s="1"/>
      <c r="U59" s="1"/>
      <c r="V59" s="1"/>
    </row>
    <row r="60" ht="12.0" customHeight="1">
      <c r="A60" s="1"/>
      <c r="B60" s="109"/>
      <c r="C60" s="109"/>
      <c r="D60" s="141"/>
      <c r="E60" s="142"/>
      <c r="F60" s="151"/>
      <c r="G60" s="109"/>
      <c r="H60" s="109"/>
      <c r="I60" s="109"/>
      <c r="J60" s="1"/>
      <c r="K60" s="1"/>
      <c r="L60" s="1"/>
      <c r="M60" s="1"/>
      <c r="N60" s="1"/>
      <c r="O60" s="1"/>
      <c r="P60" s="1"/>
      <c r="Q60" s="1"/>
      <c r="R60" s="1"/>
      <c r="S60" s="1"/>
      <c r="T60" s="1"/>
      <c r="U60" s="1"/>
      <c r="V60" s="1"/>
    </row>
    <row r="61" ht="12.0" customHeight="1">
      <c r="A61" s="1"/>
      <c r="B61" s="152" t="s">
        <v>116</v>
      </c>
      <c r="C61" s="153"/>
      <c r="D61" s="153"/>
      <c r="E61" s="153"/>
      <c r="F61" s="153"/>
      <c r="G61" s="153"/>
      <c r="H61" s="153"/>
      <c r="I61" s="73"/>
      <c r="J61" s="1"/>
      <c r="K61" s="1"/>
      <c r="L61" s="1"/>
      <c r="M61" s="1"/>
      <c r="N61" s="1"/>
      <c r="O61" s="1"/>
      <c r="P61" s="1"/>
      <c r="Q61" s="1"/>
      <c r="R61" s="1"/>
      <c r="S61" s="1"/>
      <c r="T61" s="1"/>
      <c r="U61" s="1"/>
      <c r="V61" s="1"/>
    </row>
    <row r="62" ht="12.0" customHeight="1">
      <c r="A62" s="1"/>
      <c r="B62" s="116" t="s">
        <v>117</v>
      </c>
      <c r="C62" s="119" t="s">
        <v>91</v>
      </c>
      <c r="D62" s="119">
        <v>0.0</v>
      </c>
      <c r="E62" s="154" t="str">
        <f>DEC2HEX(((D62)*2^8),8)</f>
        <v>00000000</v>
      </c>
      <c r="F62" s="155" t="s">
        <v>118</v>
      </c>
      <c r="G62" s="156" t="s">
        <v>119</v>
      </c>
      <c r="H62" s="156" t="str">
        <f>"0x"&amp;DEC2HEX((HEX2DEC(C35)+512), 8)</f>
        <v>0x3D400200</v>
      </c>
      <c r="I62" s="157" t="str">
        <f>"0x"&amp;DEC2HEX((HEX2DEC(E62)+HEX2DEC(E63)), 8)</f>
        <v>0x0000001F</v>
      </c>
      <c r="J62" s="1"/>
      <c r="K62" s="1"/>
      <c r="L62" s="1"/>
      <c r="M62" s="1"/>
      <c r="N62" s="1"/>
      <c r="O62" s="1"/>
      <c r="P62" s="1"/>
      <c r="Q62" s="1"/>
      <c r="R62" s="1"/>
      <c r="S62" s="1"/>
      <c r="T62" s="1"/>
      <c r="U62" s="1"/>
      <c r="V62" s="1"/>
    </row>
    <row r="63" ht="91.5" customHeight="1">
      <c r="A63" s="1"/>
      <c r="B63" s="135" t="s">
        <v>120</v>
      </c>
      <c r="C63" s="136" t="s">
        <v>91</v>
      </c>
      <c r="D63" s="158">
        <f>IF(C22=1,31,(IF(OR(C20=3,C20=6,C20=12),(C24+C25+C26-6-2-IF(C28=16,1,0)),(C24+C25+C26-6-IF(C28=16,1,0)))-(IF(G27="ENABLED",3,0))))</f>
        <v>31</v>
      </c>
      <c r="E63" s="138" t="str">
        <f>DEC2HEX(((D63)*2^0),8)</f>
        <v>0000001F</v>
      </c>
      <c r="F63" s="139" t="s">
        <v>121</v>
      </c>
      <c r="G63" s="140"/>
      <c r="H63" s="140"/>
      <c r="I63" s="50"/>
      <c r="J63" s="1"/>
      <c r="K63" s="1"/>
      <c r="L63" s="1"/>
      <c r="M63" s="1"/>
      <c r="N63" s="1"/>
      <c r="O63" s="1"/>
      <c r="P63" s="1"/>
      <c r="Q63" s="1"/>
      <c r="R63" s="1"/>
      <c r="S63" s="1"/>
      <c r="T63" s="1"/>
      <c r="U63" s="1"/>
      <c r="V63" s="1"/>
    </row>
    <row r="64" ht="3.0" customHeight="1">
      <c r="A64" s="1"/>
      <c r="B64" s="159"/>
      <c r="C64" s="159"/>
      <c r="D64" s="159"/>
      <c r="E64" s="160"/>
      <c r="F64" s="143"/>
      <c r="G64" s="142"/>
      <c r="H64" s="142"/>
      <c r="I64" s="142"/>
      <c r="J64" s="1"/>
      <c r="K64" s="1"/>
      <c r="L64" s="1"/>
      <c r="M64" s="1"/>
      <c r="N64" s="1"/>
      <c r="O64" s="1"/>
      <c r="P64" s="1"/>
      <c r="Q64" s="1"/>
      <c r="R64" s="1"/>
      <c r="S64" s="1"/>
      <c r="T64" s="1"/>
      <c r="U64" s="1"/>
      <c r="V64" s="1"/>
    </row>
    <row r="65" ht="86.25" customHeight="1">
      <c r="A65" s="1"/>
      <c r="B65" s="116" t="s">
        <v>122</v>
      </c>
      <c r="C65" s="119" t="s">
        <v>91</v>
      </c>
      <c r="D65" s="161">
        <f>D67</f>
        <v>8</v>
      </c>
      <c r="E65" s="154" t="str">
        <f>DEC2HEX(((D65)*2^16),8)</f>
        <v>00080000</v>
      </c>
      <c r="F65" s="155" t="s">
        <v>123</v>
      </c>
      <c r="G65" s="156" t="s">
        <v>124</v>
      </c>
      <c r="H65" s="156" t="str">
        <f>"0x"&amp;DEC2HEX((HEX2DEC(C35)+516), 8)</f>
        <v>0x3D400204</v>
      </c>
      <c r="I65" s="157" t="str">
        <f>"0x"&amp;DEC2HEX((HEX2DEC(E65)+HEX2DEC(E66)+HEX2DEC(E67)), 8)</f>
        <v>0x00080808</v>
      </c>
      <c r="J65" s="1"/>
      <c r="K65" s="1"/>
      <c r="L65" s="1"/>
      <c r="M65" s="1"/>
      <c r="N65" s="1"/>
      <c r="O65" s="1"/>
      <c r="P65" s="1"/>
      <c r="Q65" s="1"/>
      <c r="R65" s="1"/>
      <c r="S65" s="1"/>
      <c r="T65" s="1"/>
      <c r="U65" s="1"/>
      <c r="V65" s="1"/>
    </row>
    <row r="66" ht="74.25" customHeight="1">
      <c r="A66" s="1"/>
      <c r="B66" s="162" t="s">
        <v>125</v>
      </c>
      <c r="C66" s="132" t="s">
        <v>91</v>
      </c>
      <c r="D66" s="129">
        <f>D67</f>
        <v>8</v>
      </c>
      <c r="E66" s="130" t="str">
        <f>DEC2HEX(((D66)*2^8),8)</f>
        <v>00000800</v>
      </c>
      <c r="F66" s="163" t="s">
        <v>126</v>
      </c>
      <c r="G66" s="60"/>
      <c r="H66" s="60"/>
      <c r="I66" s="164"/>
      <c r="J66" s="1"/>
      <c r="K66" s="1"/>
      <c r="L66" s="1"/>
      <c r="M66" s="1"/>
      <c r="N66" s="1"/>
      <c r="O66" s="1"/>
      <c r="P66" s="1"/>
      <c r="Q66" s="1"/>
      <c r="R66" s="1"/>
      <c r="S66" s="1"/>
      <c r="T66" s="1"/>
      <c r="U66" s="1"/>
      <c r="V66" s="1"/>
    </row>
    <row r="67" ht="76.5" customHeight="1">
      <c r="A67" s="1"/>
      <c r="B67" s="135" t="s">
        <v>127</v>
      </c>
      <c r="C67" s="136" t="s">
        <v>91</v>
      </c>
      <c r="D67" s="137">
        <f>IF(C28=32, (C25-2), (C25-2-1))-(IF(G27="ENABLED",3,0))</f>
        <v>8</v>
      </c>
      <c r="E67" s="138" t="str">
        <f>DEC2HEX(((D67)*2^0),8)</f>
        <v>00000008</v>
      </c>
      <c r="F67" s="139" t="s">
        <v>128</v>
      </c>
      <c r="G67" s="140"/>
      <c r="H67" s="140"/>
      <c r="I67" s="50"/>
      <c r="J67" s="1"/>
      <c r="K67" s="1"/>
      <c r="L67" s="1"/>
      <c r="M67" s="1"/>
      <c r="N67" s="1"/>
      <c r="O67" s="1"/>
      <c r="P67" s="1"/>
      <c r="Q67" s="1"/>
      <c r="R67" s="1"/>
      <c r="S67" s="1"/>
      <c r="T67" s="1"/>
      <c r="U67" s="1"/>
      <c r="V67" s="1"/>
    </row>
    <row r="68" ht="8.25" customHeight="1">
      <c r="A68" s="1"/>
      <c r="B68" s="165"/>
      <c r="C68" s="165"/>
      <c r="D68" s="166"/>
      <c r="E68" s="167"/>
      <c r="F68" s="134"/>
      <c r="G68" s="134"/>
      <c r="H68" s="134"/>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ht="12.0" customHeight="1">
      <c r="A69" s="26"/>
      <c r="B69" s="116" t="s">
        <v>129</v>
      </c>
      <c r="C69" s="119" t="s">
        <v>91</v>
      </c>
      <c r="D69" s="168">
        <f t="shared" ref="D69:D70" si="1">D70</f>
        <v>0</v>
      </c>
      <c r="E69" s="154" t="str">
        <f>DEC2HEX(((D69)*2^24),8)</f>
        <v>00000000</v>
      </c>
      <c r="F69" s="169" t="s">
        <v>130</v>
      </c>
      <c r="G69" s="156" t="s">
        <v>131</v>
      </c>
      <c r="H69" s="156" t="str">
        <f>"0x"&amp;DEC2HEX((HEX2DEC(C35)+524), 8)</f>
        <v>0x3D40020C</v>
      </c>
      <c r="I69" s="157" t="str">
        <f>"0x"&amp;DEC2HEX((HEX2DEC(E69)+HEX2DEC(E70)+HEX2DEC(E71)+HEX2DEC(E72)), 8)</f>
        <v>0x00000000</v>
      </c>
      <c r="J69" s="1"/>
      <c r="K69" s="1"/>
      <c r="L69" s="1"/>
      <c r="M69" s="1"/>
      <c r="N69" s="1"/>
      <c r="O69" s="1"/>
      <c r="P69" s="1"/>
      <c r="Q69" s="1"/>
      <c r="R69" s="1"/>
      <c r="S69" s="1"/>
      <c r="T69" s="1"/>
      <c r="U69" s="1"/>
      <c r="V69" s="1"/>
    </row>
    <row r="70" ht="12.0" customHeight="1">
      <c r="A70" s="26"/>
      <c r="B70" s="128" t="s">
        <v>132</v>
      </c>
      <c r="C70" s="132" t="s">
        <v>91</v>
      </c>
      <c r="D70" s="133">
        <f t="shared" si="1"/>
        <v>0</v>
      </c>
      <c r="E70" s="130" t="str">
        <f>DEC2HEX(((D70)*2^16),8)</f>
        <v>00000000</v>
      </c>
      <c r="F70" s="170" t="s">
        <v>133</v>
      </c>
      <c r="G70" s="60"/>
      <c r="H70" s="60"/>
      <c r="I70" s="164"/>
      <c r="J70" s="1"/>
      <c r="K70" s="1"/>
      <c r="L70" s="1"/>
      <c r="M70" s="1"/>
      <c r="N70" s="1"/>
      <c r="O70" s="1"/>
      <c r="P70" s="1"/>
      <c r="Q70" s="1"/>
      <c r="R70" s="1"/>
      <c r="S70" s="1"/>
      <c r="T70" s="1"/>
      <c r="U70" s="1"/>
      <c r="V70" s="1"/>
    </row>
    <row r="71" ht="12.0" customHeight="1">
      <c r="A71" s="26"/>
      <c r="B71" s="128" t="s">
        <v>134</v>
      </c>
      <c r="C71" s="132" t="s">
        <v>91</v>
      </c>
      <c r="D71" s="133">
        <f>IF(G27="ENABLED", ((C22-1)+C24+C26)-(IF(D83=0, 0, 2)), 0)</f>
        <v>0</v>
      </c>
      <c r="E71" s="130" t="str">
        <f>DEC2HEX(((D71)*2^8),8)</f>
        <v>00000000</v>
      </c>
      <c r="F71" s="170" t="s">
        <v>135</v>
      </c>
      <c r="G71" s="60"/>
      <c r="H71" s="60"/>
      <c r="I71" s="164"/>
      <c r="J71" s="1"/>
      <c r="K71" s="1"/>
      <c r="L71" s="1"/>
      <c r="M71" s="1"/>
      <c r="N71" s="1"/>
      <c r="O71" s="1"/>
      <c r="P71" s="1"/>
      <c r="Q71" s="1"/>
      <c r="R71" s="1"/>
      <c r="S71" s="1"/>
      <c r="T71" s="1"/>
      <c r="U71" s="1"/>
      <c r="V71" s="1"/>
    </row>
    <row r="72" ht="12.0" customHeight="1">
      <c r="A72" s="26"/>
      <c r="B72" s="135" t="s">
        <v>136</v>
      </c>
      <c r="C72" s="136" t="s">
        <v>91</v>
      </c>
      <c r="D72" s="171">
        <f>IF(C28=32, IF(C25&gt;6, 0, 15), IF(C25&gt;7, 0, 15))</f>
        <v>0</v>
      </c>
      <c r="E72" s="138" t="str">
        <f>DEC2HEX(((D72)*2^0),8)</f>
        <v>00000000</v>
      </c>
      <c r="F72" s="172" t="s">
        <v>137</v>
      </c>
      <c r="G72" s="140"/>
      <c r="H72" s="140"/>
      <c r="I72" s="50"/>
      <c r="J72" s="1"/>
      <c r="K72" s="1"/>
      <c r="L72" s="1"/>
      <c r="M72" s="1"/>
      <c r="N72" s="1"/>
      <c r="O72" s="1"/>
      <c r="P72" s="1"/>
      <c r="Q72" s="1"/>
      <c r="R72" s="1"/>
      <c r="S72" s="1"/>
      <c r="T72" s="1"/>
      <c r="U72" s="1"/>
      <c r="V72" s="1"/>
    </row>
    <row r="73" ht="2.25" customHeight="1">
      <c r="A73" s="1"/>
      <c r="B73" s="109"/>
      <c r="C73" s="109"/>
      <c r="D73" s="109"/>
      <c r="E73" s="142"/>
      <c r="F73" s="143"/>
      <c r="G73" s="142"/>
      <c r="H73" s="142"/>
      <c r="I73" s="142"/>
      <c r="J73" s="1"/>
      <c r="K73" s="1"/>
      <c r="L73" s="1"/>
      <c r="M73" s="1"/>
      <c r="N73" s="1"/>
      <c r="O73" s="1"/>
      <c r="P73" s="1"/>
      <c r="Q73" s="1"/>
      <c r="R73" s="1"/>
      <c r="S73" s="1"/>
      <c r="T73" s="1"/>
      <c r="U73" s="1"/>
      <c r="V73" s="1"/>
    </row>
    <row r="74" ht="2.25" customHeight="1">
      <c r="A74" s="1"/>
      <c r="B74" s="109"/>
      <c r="C74" s="109"/>
      <c r="D74" s="109"/>
      <c r="E74" s="142"/>
      <c r="F74" s="143"/>
      <c r="G74" s="142"/>
      <c r="H74" s="142"/>
      <c r="I74" s="142"/>
      <c r="J74" s="1"/>
      <c r="K74" s="1"/>
      <c r="L74" s="1"/>
      <c r="M74" s="1"/>
      <c r="N74" s="1"/>
      <c r="O74" s="1"/>
      <c r="P74" s="1"/>
      <c r="Q74" s="1"/>
      <c r="R74" s="1"/>
      <c r="S74" s="1"/>
      <c r="T74" s="1"/>
      <c r="U74" s="1"/>
      <c r="V74" s="1"/>
    </row>
    <row r="75" ht="12.0" customHeight="1">
      <c r="A75" s="1"/>
      <c r="B75" s="116" t="s">
        <v>138</v>
      </c>
      <c r="C75" s="119" t="s">
        <v>91</v>
      </c>
      <c r="D75" s="173">
        <f>IF(11&lt;C25,0,15+16)</f>
        <v>31</v>
      </c>
      <c r="E75" s="154" t="str">
        <f>DEC2HEX(((D75)*2^8),8)</f>
        <v>00001F00</v>
      </c>
      <c r="F75" s="155" t="s">
        <v>139</v>
      </c>
      <c r="G75" s="156" t="s">
        <v>140</v>
      </c>
      <c r="H75" s="156" t="str">
        <f>"0x"&amp;DEC2HEX((HEX2DEC(C35)+528), 8)</f>
        <v>0x3D400210</v>
      </c>
      <c r="I75" s="157" t="str">
        <f>"0x"&amp;DEC2HEX((HEX2DEC(E75)+HEX2DEC(E76)), 8)</f>
        <v>0x00001F1F</v>
      </c>
      <c r="J75" s="1"/>
      <c r="K75" s="1"/>
      <c r="L75" s="1"/>
      <c r="M75" s="1"/>
      <c r="N75" s="1"/>
      <c r="O75" s="1"/>
      <c r="P75" s="1"/>
      <c r="Q75" s="1"/>
      <c r="R75" s="1"/>
      <c r="S75" s="1"/>
      <c r="T75" s="1"/>
      <c r="U75" s="1"/>
      <c r="V75" s="1"/>
    </row>
    <row r="76" ht="12.0" customHeight="1">
      <c r="A76" s="1"/>
      <c r="B76" s="135" t="s">
        <v>141</v>
      </c>
      <c r="C76" s="136" t="s">
        <v>91</v>
      </c>
      <c r="D76" s="137">
        <f>IF(10&lt;C25,0,15+16)</f>
        <v>31</v>
      </c>
      <c r="E76" s="138" t="str">
        <f>DEC2HEX(((D76)*2^0),8)</f>
        <v>0000001F</v>
      </c>
      <c r="F76" s="139" t="s">
        <v>142</v>
      </c>
      <c r="G76" s="140"/>
      <c r="H76" s="140"/>
      <c r="I76" s="50"/>
      <c r="J76" s="1"/>
      <c r="K76" s="1"/>
      <c r="L76" s="1"/>
      <c r="M76" s="1"/>
      <c r="N76" s="1"/>
      <c r="O76" s="1"/>
      <c r="P76" s="1"/>
      <c r="Q76" s="1"/>
      <c r="R76" s="1"/>
      <c r="S76" s="1"/>
      <c r="T76" s="1"/>
      <c r="U76" s="1"/>
      <c r="V76" s="1"/>
    </row>
    <row r="77" ht="3.0" customHeight="1">
      <c r="A77" s="1"/>
      <c r="B77" s="159"/>
      <c r="C77" s="159"/>
      <c r="D77" s="159">
        <v>8.0</v>
      </c>
      <c r="E77" s="160"/>
      <c r="F77" s="151"/>
      <c r="G77" s="142"/>
      <c r="H77" s="142"/>
      <c r="I77" s="142"/>
      <c r="J77" s="1"/>
      <c r="K77" s="1"/>
      <c r="L77" s="1"/>
      <c r="M77" s="1"/>
      <c r="N77" s="1"/>
      <c r="O77" s="1"/>
      <c r="P77" s="1"/>
      <c r="Q77" s="1"/>
      <c r="R77" s="1"/>
      <c r="S77" s="1"/>
      <c r="T77" s="1"/>
      <c r="U77" s="1"/>
      <c r="V77" s="1"/>
    </row>
    <row r="78" ht="93.0" customHeight="1">
      <c r="A78" s="1"/>
      <c r="B78" s="116" t="s">
        <v>143</v>
      </c>
      <c r="C78" s="119" t="s">
        <v>91</v>
      </c>
      <c r="D78" s="173">
        <f>D81</f>
        <v>7</v>
      </c>
      <c r="E78" s="154" t="str">
        <f>DEC2HEX(((D78)*2^24),8)</f>
        <v>07000000</v>
      </c>
      <c r="F78" s="155" t="s">
        <v>144</v>
      </c>
      <c r="G78" s="156" t="s">
        <v>145</v>
      </c>
      <c r="H78" s="156" t="str">
        <f>"0x"&amp;DEC2HEX((HEX2DEC(C35)+532), 8)</f>
        <v>0x3D400214</v>
      </c>
      <c r="I78" s="157" t="str">
        <f>"0x"&amp;DEC2HEX((HEX2DEC(E78)+HEX2DEC(E79)+HEX2DEC(E80)+HEX2DEC(E81)), 8)</f>
        <v>0x07070707</v>
      </c>
      <c r="J78" s="1"/>
      <c r="K78" s="1"/>
      <c r="L78" s="1"/>
      <c r="M78" s="1"/>
      <c r="N78" s="1"/>
      <c r="O78" s="1"/>
      <c r="P78" s="1"/>
      <c r="Q78" s="1"/>
      <c r="R78" s="1"/>
      <c r="S78" s="1"/>
      <c r="T78" s="1"/>
      <c r="U78" s="1"/>
      <c r="V78" s="1"/>
    </row>
    <row r="79" ht="114.0" customHeight="1">
      <c r="A79" s="1"/>
      <c r="B79" s="128" t="s">
        <v>146</v>
      </c>
      <c r="C79" s="132" t="s">
        <v>91</v>
      </c>
      <c r="D79" s="129">
        <f>D81</f>
        <v>7</v>
      </c>
      <c r="E79" s="130" t="str">
        <f>DEC2HEX(((D79)*2^16),8)</f>
        <v>00070000</v>
      </c>
      <c r="F79" s="131" t="s">
        <v>147</v>
      </c>
      <c r="G79" s="60"/>
      <c r="H79" s="60"/>
      <c r="I79" s="164"/>
      <c r="J79" s="1"/>
      <c r="K79" s="1"/>
      <c r="L79" s="1"/>
      <c r="M79" s="1"/>
      <c r="N79" s="1"/>
      <c r="O79" s="1"/>
      <c r="P79" s="1"/>
      <c r="Q79" s="1"/>
      <c r="R79" s="1"/>
      <c r="S79" s="1"/>
      <c r="T79" s="1"/>
      <c r="U79" s="1"/>
      <c r="V79" s="1"/>
    </row>
    <row r="80" ht="79.5" customHeight="1">
      <c r="A80" s="1"/>
      <c r="B80" s="162" t="s">
        <v>148</v>
      </c>
      <c r="C80" s="132" t="s">
        <v>91</v>
      </c>
      <c r="D80" s="129">
        <f>D81</f>
        <v>7</v>
      </c>
      <c r="E80" s="130" t="str">
        <f>DEC2HEX(((D80)*2^8),8)</f>
        <v>00000700</v>
      </c>
      <c r="F80" s="163" t="s">
        <v>149</v>
      </c>
      <c r="G80" s="60"/>
      <c r="H80" s="60"/>
      <c r="I80" s="164"/>
      <c r="J80" s="1"/>
      <c r="K80" s="1"/>
      <c r="L80" s="1"/>
      <c r="M80" s="1"/>
      <c r="N80" s="1"/>
      <c r="O80" s="1"/>
      <c r="P80" s="1"/>
      <c r="Q80" s="1"/>
      <c r="R80" s="1"/>
      <c r="S80" s="1"/>
      <c r="T80" s="1"/>
      <c r="U80" s="1"/>
      <c r="V80" s="1"/>
    </row>
    <row r="81" ht="92.25" customHeight="1">
      <c r="A81" s="1"/>
      <c r="B81" s="135" t="s">
        <v>150</v>
      </c>
      <c r="C81" s="136" t="s">
        <v>91</v>
      </c>
      <c r="D81" s="137">
        <f>IF(C28=32,  (C25+C26-6), (C25+C26-6-1)) -(IF(G27="ENABLED",3,0))</f>
        <v>7</v>
      </c>
      <c r="E81" s="138" t="str">
        <f>DEC2HEX(((D81)*2^0),8)</f>
        <v>00000007</v>
      </c>
      <c r="F81" s="139" t="s">
        <v>151</v>
      </c>
      <c r="G81" s="140"/>
      <c r="H81" s="140"/>
      <c r="I81" s="50"/>
      <c r="J81" s="1"/>
      <c r="K81" s="1"/>
      <c r="L81" s="1"/>
      <c r="M81" s="1"/>
      <c r="N81" s="1"/>
      <c r="O81" s="1"/>
      <c r="P81" s="1"/>
      <c r="Q81" s="1"/>
      <c r="R81" s="1"/>
      <c r="S81" s="1"/>
      <c r="T81" s="1"/>
      <c r="U81" s="1"/>
      <c r="V81" s="1"/>
    </row>
    <row r="82" ht="3.0" customHeight="1">
      <c r="A82" s="1"/>
      <c r="B82" s="159"/>
      <c r="C82" s="159"/>
      <c r="D82" s="159"/>
      <c r="E82" s="160"/>
      <c r="F82" s="151"/>
      <c r="G82" s="142"/>
      <c r="H82" s="142"/>
      <c r="I82" s="142"/>
      <c r="J82" s="1"/>
      <c r="K82" s="1"/>
      <c r="L82" s="1"/>
      <c r="M82" s="1"/>
      <c r="N82" s="1"/>
      <c r="O82" s="1"/>
      <c r="P82" s="1"/>
      <c r="Q82" s="1"/>
      <c r="R82" s="1"/>
      <c r="S82" s="1"/>
      <c r="T82" s="1"/>
      <c r="U82" s="1"/>
      <c r="V82" s="1"/>
    </row>
    <row r="83" ht="195.0" customHeight="1">
      <c r="A83" s="26"/>
      <c r="B83" s="116" t="s">
        <v>152</v>
      </c>
      <c r="C83" s="117" t="s">
        <v>91</v>
      </c>
      <c r="D83" s="174">
        <v>0.0</v>
      </c>
      <c r="E83" s="154" t="str">
        <f>DEC2HEX(((D83)*2^29),8)</f>
        <v>00000000</v>
      </c>
      <c r="F83" s="155" t="s">
        <v>153</v>
      </c>
      <c r="G83" s="156" t="s">
        <v>154</v>
      </c>
      <c r="H83" s="156" t="str">
        <f>"0x"&amp;DEC2HEX((HEX2DEC(C35)+536), 8)</f>
        <v>0x3D400218</v>
      </c>
      <c r="I83" s="157" t="str">
        <f>"0x"&amp;DEC2HEX((HEX2DEC(E83)+HEX2DEC(E84)+HEX2DEC(E85)+HEX2DEC(E86)+HEX2DEC(E87)), 8)</f>
        <v>0x07070707</v>
      </c>
      <c r="J83" s="1"/>
      <c r="K83" s="1"/>
      <c r="L83" s="1"/>
      <c r="M83" s="1"/>
      <c r="N83" s="1"/>
      <c r="O83" s="1"/>
      <c r="P83" s="1"/>
      <c r="Q83" s="1"/>
      <c r="R83" s="1"/>
      <c r="S83" s="1"/>
      <c r="T83" s="1"/>
      <c r="U83" s="1"/>
      <c r="V83" s="1"/>
    </row>
    <row r="84" ht="102.0" customHeight="1">
      <c r="A84" s="1"/>
      <c r="B84" s="128" t="s">
        <v>155</v>
      </c>
      <c r="C84" s="175" t="s">
        <v>91</v>
      </c>
      <c r="D84" s="176">
        <f>IF(C24&gt;15, IF(OR(C20=6,C20=12), (D81+(C22-1)+(IF(G27="ENABLED",3,0))), D81), 15)</f>
        <v>7</v>
      </c>
      <c r="E84" s="130" t="str">
        <f>DEC2HEX(((D84)*2^24),8)</f>
        <v>07000000</v>
      </c>
      <c r="F84" s="131" t="s">
        <v>156</v>
      </c>
      <c r="G84" s="60"/>
      <c r="H84" s="60"/>
      <c r="I84" s="164"/>
      <c r="J84" s="1"/>
      <c r="K84" s="1"/>
      <c r="L84" s="1"/>
      <c r="M84" s="1"/>
      <c r="N84" s="1"/>
      <c r="O84" s="1"/>
      <c r="P84" s="1"/>
      <c r="Q84" s="1"/>
      <c r="R84" s="1"/>
      <c r="S84" s="1"/>
      <c r="T84" s="1"/>
      <c r="U84" s="1"/>
      <c r="V84" s="1"/>
    </row>
    <row r="85" ht="108.0" customHeight="1">
      <c r="A85" s="1"/>
      <c r="B85" s="128" t="s">
        <v>157</v>
      </c>
      <c r="C85" s="175" t="s">
        <v>91</v>
      </c>
      <c r="D85" s="176">
        <f>IF(C24&gt;14, IF(OR(C20=6, C20=3), (D81+(C22-1)+(IF(G27="ENABLED",3,0))), D81), 15)</f>
        <v>7</v>
      </c>
      <c r="E85" s="130" t="str">
        <f>DEC2HEX(((D85)*2^16),8)</f>
        <v>00070000</v>
      </c>
      <c r="F85" s="163" t="s">
        <v>158</v>
      </c>
      <c r="G85" s="60"/>
      <c r="H85" s="60"/>
      <c r="I85" s="164"/>
      <c r="J85" s="1"/>
      <c r="K85" s="1"/>
      <c r="L85" s="1"/>
      <c r="M85" s="1"/>
      <c r="N85" s="1"/>
      <c r="O85" s="1"/>
      <c r="P85" s="1"/>
      <c r="Q85" s="1"/>
      <c r="R85" s="1"/>
      <c r="S85" s="1"/>
      <c r="T85" s="1"/>
      <c r="U85" s="1"/>
      <c r="V85" s="1"/>
    </row>
    <row r="86" ht="87.0" customHeight="1">
      <c r="A86" s="1"/>
      <c r="B86" s="128" t="s">
        <v>159</v>
      </c>
      <c r="C86" s="175" t="s">
        <v>91</v>
      </c>
      <c r="D86" s="177">
        <f>IF(C24&gt;13,IF(AND(C24&lt;16,(OR(C20=3,C20=6,C20=12))), (D81+(C22-1)+(IF(G27="ENABLED",3,0))), D81), 15)</f>
        <v>7</v>
      </c>
      <c r="E86" s="130" t="str">
        <f>DEC2HEX(((D86)*2^8),8)</f>
        <v>00000700</v>
      </c>
      <c r="F86" s="163" t="s">
        <v>160</v>
      </c>
      <c r="G86" s="60"/>
      <c r="H86" s="60"/>
      <c r="I86" s="164"/>
      <c r="J86" s="1"/>
      <c r="K86" s="1"/>
      <c r="L86" s="1"/>
      <c r="M86" s="1"/>
      <c r="N86" s="1"/>
      <c r="O86" s="1"/>
      <c r="P86" s="1"/>
      <c r="Q86" s="1"/>
      <c r="R86" s="1"/>
      <c r="S86" s="1"/>
      <c r="T86" s="1"/>
      <c r="U86" s="1"/>
      <c r="V86" s="1"/>
    </row>
    <row r="87" ht="89.25" customHeight="1">
      <c r="A87" s="1"/>
      <c r="B87" s="135" t="s">
        <v>161</v>
      </c>
      <c r="C87" s="178" t="s">
        <v>91</v>
      </c>
      <c r="D87" s="137">
        <f>IF(12&lt;C24,D81,15)</f>
        <v>7</v>
      </c>
      <c r="E87" s="138" t="str">
        <f>DEC2HEX(((D87)*2^0),8)</f>
        <v>00000007</v>
      </c>
      <c r="F87" s="139" t="s">
        <v>162</v>
      </c>
      <c r="G87" s="140"/>
      <c r="H87" s="140"/>
      <c r="I87" s="50"/>
      <c r="J87" s="1"/>
      <c r="K87" s="1"/>
      <c r="L87" s="1"/>
      <c r="M87" s="1"/>
      <c r="N87" s="1"/>
      <c r="O87" s="1"/>
      <c r="P87" s="1"/>
      <c r="Q87" s="1"/>
      <c r="R87" s="1"/>
      <c r="S87" s="1"/>
      <c r="T87" s="1"/>
      <c r="U87" s="1"/>
      <c r="V87" s="1"/>
    </row>
    <row r="88" ht="9.75" customHeight="1">
      <c r="A88" s="1"/>
      <c r="B88" s="162"/>
      <c r="C88" s="179"/>
      <c r="D88" s="180"/>
      <c r="E88" s="181"/>
      <c r="F88" s="163"/>
      <c r="G88" s="142"/>
      <c r="H88" s="142"/>
      <c r="I88" s="142"/>
      <c r="J88" s="1"/>
      <c r="K88" s="1"/>
      <c r="L88" s="1"/>
      <c r="M88" s="1"/>
      <c r="N88" s="1"/>
      <c r="O88" s="1"/>
      <c r="P88" s="1"/>
      <c r="Q88" s="1"/>
      <c r="R88" s="1"/>
      <c r="S88" s="1"/>
      <c r="T88" s="1"/>
      <c r="U88" s="1"/>
      <c r="V88" s="1"/>
    </row>
    <row r="89" ht="90.0" customHeight="1">
      <c r="A89" s="1"/>
      <c r="B89" s="116" t="s">
        <v>163</v>
      </c>
      <c r="C89" s="117" t="s">
        <v>91</v>
      </c>
      <c r="D89" s="182">
        <f>IF(C24&gt;17,D90, 15)</f>
        <v>15</v>
      </c>
      <c r="E89" s="154" t="str">
        <f>DEC2HEX(((D89)*2^8),8)</f>
        <v>00000F00</v>
      </c>
      <c r="F89" s="155" t="s">
        <v>164</v>
      </c>
      <c r="G89" s="156" t="s">
        <v>165</v>
      </c>
      <c r="H89" s="156" t="str">
        <f>"0x"&amp;DEC2HEX((HEX2DEC(C35)+540), 8)</f>
        <v>0x3D40021C</v>
      </c>
      <c r="I89" s="157" t="str">
        <f>"0x"&amp;DEC2HEX((HEX2DEC(E89)+HEX2DEC(E90)), 8)</f>
        <v>0x00000F07</v>
      </c>
      <c r="J89" s="1"/>
      <c r="K89" s="1"/>
      <c r="L89" s="1"/>
      <c r="M89" s="1"/>
      <c r="N89" s="1"/>
      <c r="O89" s="1"/>
      <c r="P89" s="1"/>
      <c r="Q89" s="1"/>
      <c r="R89" s="1"/>
      <c r="S89" s="1"/>
      <c r="T89" s="1"/>
      <c r="U89" s="1"/>
      <c r="V89" s="1"/>
    </row>
    <row r="90" ht="89.25" customHeight="1">
      <c r="A90" s="1"/>
      <c r="B90" s="135" t="s">
        <v>166</v>
      </c>
      <c r="C90" s="178" t="s">
        <v>91</v>
      </c>
      <c r="D90" s="183">
        <f>IF(C24&gt;16, IF(OR(C20=6,C20=12), (D81+(C22-1)+(IF(G27="ENABLED",3,0))), D81), 15)</f>
        <v>7</v>
      </c>
      <c r="E90" s="138" t="str">
        <f>DEC2HEX(((D90)*2^0),8)</f>
        <v>00000007</v>
      </c>
      <c r="F90" s="139" t="s">
        <v>167</v>
      </c>
      <c r="G90" s="140"/>
      <c r="H90" s="140"/>
      <c r="I90" s="50"/>
      <c r="J90" s="1"/>
      <c r="K90" s="1"/>
      <c r="L90" s="1"/>
      <c r="M90" s="1"/>
      <c r="N90" s="1"/>
      <c r="O90" s="1"/>
      <c r="P90" s="1"/>
      <c r="Q90" s="1"/>
      <c r="R90" s="1"/>
      <c r="S90" s="1"/>
      <c r="T90" s="1"/>
      <c r="U90" s="1"/>
      <c r="V90" s="1"/>
    </row>
    <row r="91" ht="8.25" customHeight="1">
      <c r="A91" s="1"/>
      <c r="B91" s="109"/>
      <c r="C91" s="109"/>
      <c r="D91" s="109"/>
      <c r="E91" s="142"/>
      <c r="F91" s="151"/>
      <c r="G91" s="142"/>
      <c r="H91" s="142"/>
      <c r="I91" s="142"/>
      <c r="J91" s="1"/>
      <c r="K91" s="1"/>
      <c r="L91" s="1"/>
      <c r="M91" s="1"/>
      <c r="N91" s="1"/>
      <c r="O91" s="1"/>
      <c r="P91" s="1"/>
      <c r="Q91" s="1"/>
      <c r="R91" s="1"/>
      <c r="S91" s="1"/>
      <c r="T91" s="1"/>
      <c r="U91" s="1"/>
      <c r="V91" s="1"/>
    </row>
    <row r="92" ht="12.0" customHeight="1">
      <c r="A92" s="1"/>
      <c r="B92" s="111" t="s">
        <v>168</v>
      </c>
      <c r="C92" s="111" t="s">
        <v>169</v>
      </c>
      <c r="D92" s="111" t="s">
        <v>170</v>
      </c>
      <c r="E92" s="111" t="s">
        <v>85</v>
      </c>
      <c r="F92" s="112" t="s">
        <v>86</v>
      </c>
      <c r="G92" s="113" t="s">
        <v>87</v>
      </c>
      <c r="H92" s="111" t="s">
        <v>171</v>
      </c>
      <c r="I92" s="111" t="s">
        <v>89</v>
      </c>
      <c r="J92" s="1"/>
      <c r="K92" s="1"/>
      <c r="L92" s="1"/>
      <c r="M92" s="1"/>
      <c r="N92" s="1"/>
      <c r="O92" s="1"/>
      <c r="P92" s="1"/>
      <c r="Q92" s="1"/>
      <c r="R92" s="1"/>
      <c r="S92" s="1"/>
      <c r="T92" s="1"/>
      <c r="U92" s="1"/>
      <c r="V92" s="1"/>
    </row>
    <row r="93" ht="3.75" customHeight="1">
      <c r="A93" s="1"/>
      <c r="B93" s="109"/>
      <c r="C93" s="109"/>
      <c r="D93" s="109"/>
      <c r="E93" s="142"/>
      <c r="F93" s="151"/>
      <c r="G93" s="142"/>
      <c r="H93" s="142"/>
      <c r="I93" s="142"/>
      <c r="J93" s="1"/>
      <c r="K93" s="1"/>
      <c r="L93" s="1"/>
      <c r="M93" s="1"/>
      <c r="N93" s="1"/>
      <c r="O93" s="1"/>
      <c r="P93" s="1"/>
      <c r="Q93" s="1"/>
      <c r="R93" s="1"/>
      <c r="S93" s="1"/>
      <c r="T93" s="1"/>
      <c r="U93" s="1"/>
      <c r="V93" s="1"/>
    </row>
    <row r="94" ht="12.0" customHeight="1">
      <c r="A94" s="1"/>
      <c r="B94" s="116" t="s">
        <v>172</v>
      </c>
      <c r="C94" s="117" t="s">
        <v>91</v>
      </c>
      <c r="D94" s="119">
        <v>2.0</v>
      </c>
      <c r="E94" s="154" t="str">
        <f>DEC2HEX(((D94)*2^20),8)</f>
        <v>00200000</v>
      </c>
      <c r="F94" s="184" t="s">
        <v>173</v>
      </c>
      <c r="G94" s="156" t="s">
        <v>174</v>
      </c>
      <c r="H94" s="156" t="str">
        <f>"0x"&amp;DEC2HEX((HEX2DEC(C35)+HEX2DEC(50)), 8)</f>
        <v>0x3D400050</v>
      </c>
      <c r="I94" s="185" t="str">
        <f>"0x"&amp;DEC2HEX((HEX2DEC(E94)+HEX2DEC(E95)+HEX2DEC(E96)+HEX2DEC(E97)), 8)</f>
        <v>0x00210000</v>
      </c>
      <c r="J94" s="186" t="s">
        <v>175</v>
      </c>
      <c r="K94" s="1"/>
      <c r="L94" s="1"/>
      <c r="M94" s="1"/>
      <c r="N94" s="1"/>
      <c r="O94" s="1"/>
      <c r="P94" s="1"/>
      <c r="Q94" s="1"/>
      <c r="R94" s="1"/>
      <c r="S94" s="1"/>
      <c r="T94" s="1"/>
      <c r="U94" s="1"/>
      <c r="V94" s="1"/>
    </row>
    <row r="95" ht="176.25" customHeight="1">
      <c r="A95" s="1"/>
      <c r="B95" s="128" t="s">
        <v>176</v>
      </c>
      <c r="C95" s="175" t="s">
        <v>91</v>
      </c>
      <c r="D95" s="132">
        <v>16.0</v>
      </c>
      <c r="E95" s="130" t="str">
        <f>DEC2HEX(((D95)*2^12),8)</f>
        <v>00010000</v>
      </c>
      <c r="F95" s="187" t="s">
        <v>177</v>
      </c>
      <c r="G95" s="60"/>
      <c r="H95" s="60"/>
      <c r="I95" s="61"/>
      <c r="J95" s="60"/>
      <c r="K95" s="1"/>
      <c r="L95" s="1"/>
      <c r="M95" s="1"/>
      <c r="N95" s="1"/>
      <c r="O95" s="1"/>
      <c r="P95" s="1"/>
      <c r="Q95" s="1"/>
      <c r="R95" s="1"/>
      <c r="S95" s="1"/>
      <c r="T95" s="1"/>
      <c r="U95" s="1"/>
      <c r="V95" s="1"/>
    </row>
    <row r="96" ht="305.25" customHeight="1">
      <c r="A96" s="1"/>
      <c r="B96" s="128" t="s">
        <v>178</v>
      </c>
      <c r="C96" s="175" t="s">
        <v>91</v>
      </c>
      <c r="D96" s="188">
        <v>0.0</v>
      </c>
      <c r="E96" s="130" t="str">
        <f>DEC2HEX(((D96)*2^4),8)</f>
        <v>00000000</v>
      </c>
      <c r="F96" s="187" t="s">
        <v>179</v>
      </c>
      <c r="G96" s="60"/>
      <c r="H96" s="60"/>
      <c r="I96" s="61"/>
      <c r="J96" s="60"/>
      <c r="K96" s="1"/>
      <c r="L96" s="1"/>
      <c r="M96" s="1"/>
      <c r="N96" s="1"/>
      <c r="O96" s="1"/>
      <c r="P96" s="1"/>
      <c r="Q96" s="1"/>
      <c r="R96" s="1"/>
      <c r="S96" s="1"/>
      <c r="T96" s="1"/>
      <c r="U96" s="1"/>
      <c r="V96" s="1"/>
    </row>
    <row r="97" ht="12.0" customHeight="1">
      <c r="A97" s="1"/>
      <c r="B97" s="135" t="s">
        <v>180</v>
      </c>
      <c r="C97" s="178" t="s">
        <v>91</v>
      </c>
      <c r="D97" s="189">
        <v>0.0</v>
      </c>
      <c r="E97" s="138" t="str">
        <f>DEC2HEX(((D97)*2^2),8)</f>
        <v>00000000</v>
      </c>
      <c r="F97" s="190" t="s">
        <v>181</v>
      </c>
      <c r="G97" s="140"/>
      <c r="H97" s="140"/>
      <c r="I97" s="191"/>
      <c r="J97" s="74"/>
      <c r="K97" s="1"/>
      <c r="L97" s="1"/>
      <c r="M97" s="1"/>
      <c r="N97" s="1"/>
      <c r="O97" s="1"/>
      <c r="P97" s="1"/>
      <c r="Q97" s="1"/>
      <c r="R97" s="1"/>
      <c r="S97" s="1"/>
      <c r="T97" s="1"/>
      <c r="U97" s="1"/>
      <c r="V97" s="1"/>
    </row>
    <row r="98" ht="14.25" customHeight="1">
      <c r="A98" s="1"/>
      <c r="B98" s="109"/>
      <c r="C98" s="109"/>
      <c r="D98" s="109"/>
      <c r="E98" s="142"/>
      <c r="F98" s="151"/>
      <c r="G98" s="142"/>
      <c r="H98" s="142"/>
      <c r="I98" s="142"/>
      <c r="J98" s="1"/>
      <c r="K98" s="1"/>
      <c r="L98" s="1"/>
      <c r="M98" s="1"/>
      <c r="N98" s="1"/>
      <c r="O98" s="1"/>
      <c r="P98" s="1"/>
      <c r="Q98" s="1"/>
      <c r="R98" s="1"/>
      <c r="S98" s="1"/>
      <c r="T98" s="1"/>
      <c r="U98" s="1"/>
      <c r="V98" s="1"/>
    </row>
    <row r="99" ht="12.0" customHeight="1">
      <c r="A99" s="1"/>
      <c r="B99" s="116" t="s">
        <v>182</v>
      </c>
      <c r="C99" s="192">
        <f>IF((G40 = "Option 2"), ROUNDDOWN(3904/4, 0), IF((G40 = "Option 1"), ROUNDDOWN(3904/2, 0), 3904))</f>
        <v>3904</v>
      </c>
      <c r="D99" s="173">
        <f>ROUNDDOWN(((C99/C30)/64), 0)</f>
        <v>122</v>
      </c>
      <c r="E99" s="154" t="str">
        <f>DEC2HEX(((D99)*2^16),8)</f>
        <v>007A0000</v>
      </c>
      <c r="F99" s="193" t="s">
        <v>183</v>
      </c>
      <c r="G99" s="156" t="s">
        <v>184</v>
      </c>
      <c r="H99" s="156" t="str">
        <f>"0x"&amp;DEC2HEX((HEX2DEC(C35)+HEX2DEC(64)), 8)</f>
        <v>0x3D400064</v>
      </c>
      <c r="I99" s="157" t="str">
        <f>"0x"&amp;DEC2HEX((HEX2DEC(E99)+HEX2DEC(E100)), 8)</f>
        <v>0x007A017C</v>
      </c>
      <c r="J99" s="194" t="s">
        <v>185</v>
      </c>
      <c r="K99" s="1"/>
      <c r="L99" s="1"/>
      <c r="M99" s="1"/>
      <c r="N99" s="1"/>
      <c r="O99" s="1"/>
      <c r="P99" s="1"/>
      <c r="Q99" s="1"/>
      <c r="R99" s="1"/>
      <c r="S99" s="1"/>
      <c r="T99" s="1"/>
      <c r="U99" s="1"/>
      <c r="V99" s="1"/>
    </row>
    <row r="100" ht="12.0" customHeight="1">
      <c r="A100" s="1"/>
      <c r="B100" s="135" t="s">
        <v>186</v>
      </c>
      <c r="C100" s="171">
        <f>IF(C20&lt;3,130,IF(C20&lt;6,180,IF(C20&lt;12,280,380)))</f>
        <v>380</v>
      </c>
      <c r="D100" s="137">
        <f>ROUNDUP((C100/C30/2),0)</f>
        <v>380</v>
      </c>
      <c r="E100" s="138" t="str">
        <f>DEC2HEX(((D100)*2^0),8)</f>
        <v>0000017C</v>
      </c>
      <c r="F100" s="195" t="s">
        <v>187</v>
      </c>
      <c r="G100" s="140"/>
      <c r="H100" s="140"/>
      <c r="I100" s="50"/>
      <c r="J100" s="1"/>
      <c r="K100" s="1"/>
      <c r="L100" s="1"/>
      <c r="M100" s="1"/>
      <c r="N100" s="1"/>
      <c r="O100" s="1"/>
      <c r="P100" s="1"/>
      <c r="Q100" s="1"/>
      <c r="R100" s="1"/>
      <c r="S100" s="1"/>
      <c r="T100" s="1"/>
      <c r="U100" s="1"/>
      <c r="V100" s="1"/>
    </row>
    <row r="101" ht="9.0" customHeight="1">
      <c r="A101" s="1"/>
      <c r="B101" s="109"/>
      <c r="C101" s="109"/>
      <c r="D101" s="109"/>
      <c r="E101" s="142"/>
      <c r="F101" s="151"/>
      <c r="G101" s="142"/>
      <c r="H101" s="142"/>
      <c r="I101" s="142"/>
      <c r="J101" s="1"/>
      <c r="K101" s="1"/>
      <c r="L101" s="1"/>
      <c r="M101" s="1"/>
      <c r="N101" s="1"/>
      <c r="O101" s="1"/>
      <c r="P101" s="1"/>
      <c r="Q101" s="1"/>
      <c r="R101" s="1"/>
      <c r="S101" s="1"/>
      <c r="T101" s="1"/>
      <c r="U101" s="1"/>
      <c r="V101" s="1"/>
    </row>
    <row r="102" ht="12.0" customHeight="1">
      <c r="A102" s="1"/>
      <c r="B102" s="152" t="s">
        <v>188</v>
      </c>
      <c r="C102" s="153"/>
      <c r="D102" s="153"/>
      <c r="E102" s="153"/>
      <c r="F102" s="153"/>
      <c r="G102" s="153"/>
      <c r="H102" s="153"/>
      <c r="I102" s="73"/>
      <c r="J102" s="1"/>
      <c r="K102" s="1"/>
      <c r="L102" s="1"/>
      <c r="M102" s="1"/>
      <c r="N102" s="1"/>
      <c r="O102" s="1"/>
      <c r="P102" s="1"/>
      <c r="Q102" s="1"/>
      <c r="R102" s="1"/>
      <c r="S102" s="1"/>
      <c r="T102" s="1"/>
      <c r="U102" s="1"/>
      <c r="V102" s="1"/>
    </row>
    <row r="103" ht="127.5" customHeight="1">
      <c r="A103" s="1"/>
      <c r="B103" s="116" t="s">
        <v>189</v>
      </c>
      <c r="C103" s="119" t="s">
        <v>91</v>
      </c>
      <c r="D103" s="119">
        <v>3.0</v>
      </c>
      <c r="E103" s="154" t="str">
        <f>DEC2HEX(((D103)*2^30),8)</f>
        <v>C0000000</v>
      </c>
      <c r="F103" s="155" t="s">
        <v>190</v>
      </c>
      <c r="G103" s="156" t="s">
        <v>191</v>
      </c>
      <c r="H103" s="185" t="str">
        <f>"0x"&amp;DEC2HEX((HEX2DEC(C35)+208), 8)</f>
        <v>0x3D4000D0</v>
      </c>
      <c r="I103" s="196" t="str">
        <f>"0x"&amp;DEC2HEX((HEX2DEC(E103)+HEX2DEC(E104)+HEX2DEC(E105)), 8)</f>
        <v>0xC00307A3</v>
      </c>
      <c r="J103" s="197" t="s">
        <v>192</v>
      </c>
      <c r="K103" s="1"/>
      <c r="L103" s="1"/>
      <c r="M103" s="1"/>
      <c r="N103" s="1"/>
      <c r="O103" s="1"/>
      <c r="P103" s="1"/>
      <c r="Q103" s="1"/>
      <c r="R103" s="1"/>
      <c r="S103" s="1"/>
      <c r="T103" s="1"/>
      <c r="U103" s="1"/>
      <c r="V103" s="1"/>
    </row>
    <row r="104" ht="12.0" customHeight="1">
      <c r="A104" s="1"/>
      <c r="B104" s="128" t="s">
        <v>193</v>
      </c>
      <c r="C104" s="132">
        <v>2000.0</v>
      </c>
      <c r="D104" s="129">
        <f>IF(C17="DDR3", 2, ROUNDUP(((C104/C30)/2/1024 +1),0))</f>
        <v>3</v>
      </c>
      <c r="E104" s="130" t="str">
        <f>DEC2HEX(((D104)*2^16),8)</f>
        <v>00030000</v>
      </c>
      <c r="F104" s="131" t="s">
        <v>194</v>
      </c>
      <c r="G104" s="60"/>
      <c r="H104" s="61"/>
      <c r="I104" s="198"/>
      <c r="J104" s="199"/>
      <c r="K104" s="1"/>
      <c r="L104" s="1"/>
      <c r="M104" s="1"/>
      <c r="N104" s="1"/>
      <c r="O104" s="1"/>
      <c r="P104" s="1"/>
      <c r="Q104" s="1"/>
      <c r="R104" s="1"/>
      <c r="S104" s="1"/>
      <c r="T104" s="1"/>
      <c r="U104" s="1"/>
    </row>
    <row r="105" ht="12.0" customHeight="1">
      <c r="A105" s="1"/>
      <c r="B105" s="135" t="s">
        <v>195</v>
      </c>
      <c r="C105" s="136">
        <v>2000000.0</v>
      </c>
      <c r="D105" s="137">
        <f>ROUNDUP(((C105/C30)/2/1024 +1),0)</f>
        <v>1955</v>
      </c>
      <c r="E105" s="138" t="str">
        <f>DEC2HEX(((D105)*2^0),8)</f>
        <v>000007A3</v>
      </c>
      <c r="F105" s="139" t="s">
        <v>196</v>
      </c>
      <c r="G105" s="140"/>
      <c r="H105" s="191"/>
      <c r="I105" s="200"/>
      <c r="J105" s="201"/>
      <c r="K105" s="22"/>
      <c r="L105" s="1"/>
      <c r="M105" s="1"/>
      <c r="N105" s="1"/>
      <c r="O105" s="1"/>
      <c r="P105" s="1"/>
      <c r="Q105" s="1"/>
      <c r="R105" s="1"/>
      <c r="S105" s="1"/>
      <c r="T105" s="1"/>
      <c r="U105" s="1"/>
      <c r="V105" s="1"/>
    </row>
    <row r="106" ht="8.25" customHeight="1">
      <c r="A106" s="1"/>
      <c r="B106" s="159"/>
      <c r="C106" s="159"/>
      <c r="D106" s="159"/>
      <c r="E106" s="160"/>
      <c r="F106" s="151"/>
      <c r="G106" s="142"/>
      <c r="H106" s="142"/>
      <c r="I106" s="142"/>
      <c r="J106" s="1"/>
      <c r="K106" s="167"/>
      <c r="L106" s="1"/>
      <c r="M106" s="1"/>
      <c r="N106" s="1"/>
      <c r="O106" s="1"/>
      <c r="P106" s="1"/>
      <c r="Q106" s="1"/>
      <c r="R106" s="1"/>
      <c r="S106" s="1"/>
      <c r="T106" s="1"/>
      <c r="U106" s="1"/>
      <c r="V106" s="1"/>
    </row>
    <row r="107" ht="12.0" customHeight="1">
      <c r="A107" s="1"/>
      <c r="B107" s="116" t="s">
        <v>197</v>
      </c>
      <c r="C107" s="119">
        <v>200000.0</v>
      </c>
      <c r="D107" s="168">
        <f>IF(C17="LPDDR4", ROUNDUP((C107/C30/1024/2 + 1), 0), 1)</f>
        <v>197</v>
      </c>
      <c r="E107" s="154" t="str">
        <f>DEC2HEX(((D107)*2^16),8)</f>
        <v>00C50000</v>
      </c>
      <c r="F107" s="155" t="s">
        <v>198</v>
      </c>
      <c r="G107" s="156" t="s">
        <v>199</v>
      </c>
      <c r="H107" s="156" t="str">
        <f>"0x"&amp;DEC2HEX((HEX2DEC(C35)+212), 8)</f>
        <v>0x3D4000D4</v>
      </c>
      <c r="I107" s="157" t="str">
        <f>"0x"&amp;DEC2HEX((HEX2DEC(E107)+HEX2DEC(E108)), 8)</f>
        <v>0x00C50000</v>
      </c>
      <c r="J107" s="201"/>
      <c r="K107" s="22"/>
      <c r="L107" s="1"/>
      <c r="M107" s="1"/>
      <c r="N107" s="1"/>
      <c r="O107" s="1"/>
      <c r="P107" s="1"/>
      <c r="Q107" s="1"/>
      <c r="R107" s="1"/>
      <c r="S107" s="1"/>
      <c r="T107" s="1"/>
      <c r="U107" s="1"/>
      <c r="V107" s="1"/>
    </row>
    <row r="108" ht="80.25" customHeight="1">
      <c r="A108" s="1"/>
      <c r="B108" s="135" t="s">
        <v>200</v>
      </c>
      <c r="C108" s="136" t="s">
        <v>91</v>
      </c>
      <c r="D108" s="136">
        <v>0.0</v>
      </c>
      <c r="E108" s="138" t="str">
        <f>DEC2HEX(((D108)*2^0),8)</f>
        <v>00000000</v>
      </c>
      <c r="F108" s="139" t="s">
        <v>201</v>
      </c>
      <c r="G108" s="140"/>
      <c r="H108" s="140"/>
      <c r="I108" s="50"/>
      <c r="J108" s="1"/>
      <c r="K108" s="1"/>
      <c r="L108" s="1"/>
      <c r="M108" s="1"/>
      <c r="N108" s="1"/>
      <c r="O108" s="1"/>
      <c r="P108" s="1"/>
      <c r="Q108" s="1"/>
      <c r="R108" s="1"/>
      <c r="S108" s="1"/>
      <c r="T108" s="1"/>
      <c r="U108" s="1"/>
      <c r="V108" s="1"/>
    </row>
    <row r="109" ht="7.5" customHeight="1">
      <c r="A109" s="1"/>
      <c r="B109" s="159"/>
      <c r="C109" s="159"/>
      <c r="D109" s="159"/>
      <c r="E109" s="160"/>
      <c r="F109" s="151"/>
      <c r="G109" s="142"/>
      <c r="H109" s="142"/>
      <c r="I109" s="142"/>
      <c r="J109" s="1"/>
      <c r="K109" s="1"/>
      <c r="L109" s="1"/>
      <c r="M109" s="1"/>
      <c r="N109" s="1"/>
      <c r="O109" s="1"/>
      <c r="P109" s="1"/>
      <c r="Q109" s="1"/>
      <c r="R109" s="1"/>
      <c r="S109" s="1"/>
      <c r="T109" s="1"/>
      <c r="U109" s="1"/>
      <c r="V109" s="1"/>
    </row>
    <row r="110" ht="7.5" customHeight="1">
      <c r="A110" s="1"/>
      <c r="B110" s="159"/>
      <c r="C110" s="159"/>
      <c r="D110" s="159"/>
      <c r="E110" s="160"/>
      <c r="F110" s="151"/>
      <c r="G110" s="142"/>
      <c r="H110" s="142"/>
      <c r="I110" s="142"/>
      <c r="J110" s="1"/>
      <c r="K110" s="1"/>
      <c r="L110" s="1"/>
      <c r="M110" s="1"/>
      <c r="N110" s="1"/>
      <c r="O110" s="1"/>
      <c r="P110" s="1"/>
      <c r="Q110" s="1"/>
      <c r="R110" s="1"/>
      <c r="S110" s="1"/>
      <c r="T110" s="1"/>
      <c r="U110" s="1"/>
      <c r="V110" s="1"/>
    </row>
    <row r="111" ht="12.0" customHeight="1">
      <c r="A111" s="1"/>
      <c r="B111" s="202" t="s">
        <v>202</v>
      </c>
      <c r="C111" s="153"/>
      <c r="D111" s="153"/>
      <c r="E111" s="153"/>
      <c r="F111" s="153"/>
      <c r="G111" s="153"/>
      <c r="H111" s="153"/>
      <c r="I111" s="73"/>
      <c r="J111" s="1"/>
      <c r="K111" s="1"/>
      <c r="L111" s="1"/>
      <c r="M111" s="1"/>
      <c r="N111" s="1"/>
      <c r="O111" s="1"/>
      <c r="P111" s="1"/>
      <c r="Q111" s="1"/>
      <c r="R111" s="1"/>
      <c r="S111" s="1"/>
      <c r="T111" s="1"/>
      <c r="U111" s="1"/>
      <c r="V111" s="1"/>
    </row>
    <row r="112" ht="12.0" customHeight="1">
      <c r="A112" s="1"/>
      <c r="B112" s="116" t="s">
        <v>203</v>
      </c>
      <c r="C112" s="119">
        <v>12.0</v>
      </c>
      <c r="D112" s="133">
        <f>(C112)</f>
        <v>12</v>
      </c>
      <c r="E112" s="154" t="str">
        <f>DEC2HEX(((D112)*2^8),8)</f>
        <v>00000C00</v>
      </c>
      <c r="F112" s="193" t="s">
        <v>204</v>
      </c>
      <c r="G112" s="156" t="s">
        <v>205</v>
      </c>
      <c r="H112" s="156" t="str">
        <f>"0x"&amp;DEC2HEX((HEX2DEC(C35)+244), 8)</f>
        <v>0x3D4000F4</v>
      </c>
      <c r="I112" s="157" t="str">
        <f>"0x"&amp;DEC2HEX((HEX2DEC(E112)+HEX2DEC(E113)+HEX2DEC(E114)), 8)</f>
        <v>0x00000C99</v>
      </c>
      <c r="J112" s="1"/>
      <c r="K112" s="1"/>
      <c r="L112" s="1"/>
      <c r="M112" s="1"/>
      <c r="N112" s="1"/>
      <c r="O112" s="1"/>
      <c r="P112" s="1"/>
      <c r="Q112" s="1"/>
      <c r="R112" s="1"/>
      <c r="S112" s="1"/>
      <c r="T112" s="1"/>
      <c r="U112" s="1"/>
      <c r="V112" s="1"/>
    </row>
    <row r="113" ht="12.0" customHeight="1">
      <c r="A113" s="1"/>
      <c r="B113" s="128" t="s">
        <v>206</v>
      </c>
      <c r="C113" s="132">
        <v>8.0</v>
      </c>
      <c r="D113" s="133">
        <f>(C113+1)</f>
        <v>9</v>
      </c>
      <c r="E113" s="130" t="str">
        <f>DEC2HEX(((D113)*2^4),8)</f>
        <v>00000090</v>
      </c>
      <c r="F113" s="203" t="s">
        <v>207</v>
      </c>
      <c r="G113" s="60"/>
      <c r="H113" s="60"/>
      <c r="I113" s="164"/>
      <c r="J113" s="1"/>
      <c r="K113" s="1"/>
      <c r="L113" s="1"/>
      <c r="M113" s="1"/>
      <c r="N113" s="1"/>
      <c r="O113" s="1"/>
      <c r="P113" s="1"/>
      <c r="Q113" s="1"/>
      <c r="R113" s="1"/>
      <c r="S113" s="1"/>
      <c r="T113" s="1"/>
      <c r="U113" s="1"/>
      <c r="V113" s="1"/>
    </row>
    <row r="114" ht="304.5" customHeight="1">
      <c r="A114" s="1"/>
      <c r="B114" s="135" t="s">
        <v>208</v>
      </c>
      <c r="C114" s="136">
        <v>9.0</v>
      </c>
      <c r="D114" s="136">
        <v>9.0</v>
      </c>
      <c r="E114" s="138" t="str">
        <f>DEC2HEX(((D114)*2^0),8)</f>
        <v>00000009</v>
      </c>
      <c r="F114" s="195" t="s">
        <v>209</v>
      </c>
      <c r="G114" s="140"/>
      <c r="H114" s="140"/>
      <c r="I114" s="50"/>
      <c r="J114" s="1"/>
      <c r="K114" s="1"/>
      <c r="L114" s="1"/>
      <c r="M114" s="1"/>
      <c r="N114" s="1"/>
      <c r="O114" s="1"/>
      <c r="P114" s="1"/>
      <c r="Q114" s="1"/>
      <c r="R114" s="1"/>
      <c r="S114" s="1"/>
      <c r="T114" s="1"/>
      <c r="U114" s="1"/>
      <c r="V114" s="1"/>
    </row>
    <row r="115" ht="9.0" customHeight="1">
      <c r="A115" s="1"/>
      <c r="B115" s="159"/>
      <c r="C115" s="159"/>
      <c r="D115" s="159"/>
      <c r="E115" s="160"/>
      <c r="F115" s="151"/>
      <c r="G115" s="142"/>
      <c r="H115" s="142"/>
      <c r="I115" s="142"/>
      <c r="J115" s="1"/>
      <c r="K115" s="1"/>
      <c r="L115" s="1"/>
      <c r="M115" s="1"/>
      <c r="N115" s="1"/>
      <c r="O115" s="1"/>
      <c r="P115" s="1"/>
      <c r="Q115" s="1"/>
      <c r="R115" s="1"/>
      <c r="S115" s="1"/>
      <c r="T115" s="1"/>
      <c r="U115" s="1"/>
      <c r="V115" s="1"/>
    </row>
    <row r="116" ht="12.0" customHeight="1">
      <c r="A116" s="1"/>
      <c r="B116" s="116" t="s">
        <v>210</v>
      </c>
      <c r="C116" s="168">
        <f>MAX(18/C30, 6)</f>
        <v>36</v>
      </c>
      <c r="D116" s="204">
        <f>ROUNDUP((1+C127+D48+ROUNDUP((C116),0))/2, 0)</f>
        <v>32</v>
      </c>
      <c r="E116" s="154" t="str">
        <f>DEC2HEX(((D116)*2^24),8)</f>
        <v>20000000</v>
      </c>
      <c r="F116" s="155" t="s">
        <v>211</v>
      </c>
      <c r="G116" s="156" t="s">
        <v>212</v>
      </c>
      <c r="H116" s="156" t="str">
        <f>"0x"&amp;DEC2HEX((HEX2DEC(C35)+256), 8)</f>
        <v>0x3D400100</v>
      </c>
      <c r="I116" s="157" t="str">
        <f>"0x"&amp;DEC2HEX((HEX2DEC(E116)+HEX2DEC(E117)+HEX2DEC(E118)+HEX2DEC(E119)), 8)</f>
        <v>0x2028222A</v>
      </c>
      <c r="J116" s="134"/>
      <c r="K116" s="1"/>
      <c r="L116" s="1"/>
      <c r="M116" s="1"/>
      <c r="N116" s="1"/>
      <c r="O116" s="1"/>
      <c r="P116" s="1"/>
      <c r="Q116" s="1"/>
      <c r="R116" s="1"/>
      <c r="S116" s="1"/>
      <c r="T116" s="1"/>
      <c r="U116" s="1"/>
      <c r="V116" s="1"/>
    </row>
    <row r="117" ht="12.0" customHeight="1">
      <c r="A117" s="1"/>
      <c r="B117" s="123" t="s">
        <v>213</v>
      </c>
      <c r="C117" s="205">
        <v>40.0</v>
      </c>
      <c r="D117" s="129">
        <f>ROUNDUP(((C117/C30)/2),0)</f>
        <v>40</v>
      </c>
      <c r="E117" s="206" t="str">
        <f>DEC2HEX(((D117)*2^16),8)</f>
        <v>00280000</v>
      </c>
      <c r="F117" s="207" t="s">
        <v>214</v>
      </c>
      <c r="G117" s="60"/>
      <c r="H117" s="60"/>
      <c r="I117" s="164"/>
      <c r="J117" s="1"/>
      <c r="K117" s="1"/>
      <c r="L117" s="1"/>
      <c r="M117" s="1"/>
      <c r="N117" s="1"/>
      <c r="O117" s="1"/>
      <c r="P117" s="1"/>
      <c r="Q117" s="1"/>
      <c r="R117" s="1"/>
      <c r="S117" s="1"/>
      <c r="T117" s="1"/>
      <c r="U117" s="1"/>
      <c r="V117" s="1"/>
    </row>
    <row r="118" ht="12.0" customHeight="1">
      <c r="A118" s="1"/>
      <c r="B118" s="128" t="s">
        <v>215</v>
      </c>
      <c r="C118" s="133">
        <f>MIN((9*C99), 70200)</f>
        <v>35136</v>
      </c>
      <c r="D118" s="177">
        <f>MAX(ROUNDDOWN(((C118/C30 - 1)/2/1024),0), 1)</f>
        <v>34</v>
      </c>
      <c r="E118" s="130" t="str">
        <f>DEC2HEX(((D118)*2^8),8)</f>
        <v>00002200</v>
      </c>
      <c r="F118" s="131" t="s">
        <v>216</v>
      </c>
      <c r="G118" s="60"/>
      <c r="H118" s="60"/>
      <c r="I118" s="164"/>
      <c r="J118" s="1"/>
      <c r="K118" s="1"/>
      <c r="L118" s="1"/>
      <c r="M118" s="1"/>
      <c r="N118" s="1"/>
      <c r="O118" s="1"/>
      <c r="P118" s="1"/>
      <c r="Q118" s="1"/>
      <c r="R118" s="1"/>
      <c r="S118" s="1"/>
      <c r="T118" s="1"/>
      <c r="U118" s="1"/>
      <c r="V118" s="1"/>
    </row>
    <row r="119" ht="12.0" customHeight="1">
      <c r="A119" s="1"/>
      <c r="B119" s="135" t="s">
        <v>217</v>
      </c>
      <c r="C119" s="171">
        <f>IF(G40 = "Option 2", MAX((42+1.875)/C30, 3), MAX(42/C30, 3))</f>
        <v>84</v>
      </c>
      <c r="D119" s="137">
        <f>ROUNDUP((C119)/2,0)</f>
        <v>42</v>
      </c>
      <c r="E119" s="138" t="str">
        <f>DEC2HEX(((D119)*2^0),8)</f>
        <v>0000002A</v>
      </c>
      <c r="F119" s="139" t="s">
        <v>218</v>
      </c>
      <c r="G119" s="140"/>
      <c r="H119" s="140"/>
      <c r="I119" s="50"/>
      <c r="J119" s="1"/>
      <c r="K119" s="1"/>
      <c r="L119" s="1"/>
      <c r="M119" s="1"/>
      <c r="N119" s="1"/>
      <c r="O119" s="1"/>
      <c r="P119" s="1"/>
      <c r="Q119" s="1"/>
      <c r="R119" s="1"/>
      <c r="S119" s="1"/>
      <c r="T119" s="1"/>
      <c r="U119" s="1"/>
      <c r="V119" s="1"/>
    </row>
    <row r="120" ht="10.5" customHeight="1">
      <c r="A120" s="1"/>
      <c r="B120" s="159"/>
      <c r="C120" s="159"/>
      <c r="D120" s="159"/>
      <c r="E120" s="160"/>
      <c r="F120" s="151"/>
      <c r="G120" s="142"/>
      <c r="H120" s="142"/>
      <c r="I120" s="142"/>
      <c r="J120" s="1"/>
      <c r="K120" s="1"/>
      <c r="L120" s="1"/>
      <c r="M120" s="1"/>
      <c r="N120" s="1"/>
      <c r="O120" s="1"/>
      <c r="P120" s="1"/>
      <c r="Q120" s="1"/>
      <c r="R120" s="1"/>
      <c r="S120" s="1"/>
      <c r="T120" s="1"/>
      <c r="U120" s="1"/>
      <c r="V120" s="1"/>
    </row>
    <row r="121" ht="165.75" customHeight="1">
      <c r="A121" s="1"/>
      <c r="B121" s="116" t="s">
        <v>219</v>
      </c>
      <c r="C121" s="161">
        <f>MAX(7.5/C30, 5)</f>
        <v>15</v>
      </c>
      <c r="D121" s="173">
        <f t="shared" ref="D121:D122" si="2">ROUNDUP((C121)/2,0)</f>
        <v>8</v>
      </c>
      <c r="E121" s="154" t="str">
        <f>DEC2HEX(((D121)*2^16),8)</f>
        <v>00080000</v>
      </c>
      <c r="F121" s="193" t="s">
        <v>220</v>
      </c>
      <c r="G121" s="156" t="s">
        <v>221</v>
      </c>
      <c r="H121" s="156" t="str">
        <f>"0x"&amp;DEC2HEX((HEX2DEC(C35)+260), 8)</f>
        <v>0x3D400104</v>
      </c>
      <c r="I121" s="157" t="str">
        <f>"0x"&amp;DEC2HEX((HEX2DEC(E121)+HEX2DEC(E122)+HEX2DEC(E123)), 8)</f>
        <v>0x0008083F</v>
      </c>
      <c r="J121" s="1"/>
      <c r="K121" s="1"/>
      <c r="L121" s="1"/>
      <c r="M121" s="1"/>
      <c r="N121" s="1"/>
      <c r="O121" s="1"/>
      <c r="P121" s="1"/>
      <c r="Q121" s="1"/>
      <c r="R121" s="1"/>
      <c r="S121" s="1"/>
      <c r="T121" s="1"/>
      <c r="U121" s="1"/>
      <c r="V121" s="1"/>
    </row>
    <row r="122" ht="12.0" customHeight="1">
      <c r="A122" s="1"/>
      <c r="B122" s="128" t="s">
        <v>222</v>
      </c>
      <c r="C122" s="129">
        <f>MAX(7.5/C30, 8)</f>
        <v>15</v>
      </c>
      <c r="D122" s="129">
        <f t="shared" si="2"/>
        <v>8</v>
      </c>
      <c r="E122" s="130" t="str">
        <f>DEC2HEX(((D122)*2^8),8)</f>
        <v>00000800</v>
      </c>
      <c r="F122" s="203" t="s">
        <v>223</v>
      </c>
      <c r="G122" s="60"/>
      <c r="H122" s="60"/>
      <c r="I122" s="164"/>
      <c r="J122" s="208"/>
      <c r="K122" s="1"/>
      <c r="L122" s="1"/>
      <c r="M122" s="1"/>
      <c r="N122" s="1"/>
      <c r="O122" s="1"/>
      <c r="P122" s="1"/>
      <c r="Q122" s="1"/>
      <c r="R122" s="1"/>
      <c r="S122" s="1"/>
      <c r="T122" s="1"/>
      <c r="U122" s="1"/>
      <c r="V122" s="1"/>
    </row>
    <row r="123" ht="115.5" customHeight="1">
      <c r="A123" s="1"/>
      <c r="B123" s="135" t="s">
        <v>224</v>
      </c>
      <c r="C123" s="137">
        <f>IF(G40 = "Option 2", MAX((21+1.875)/C30, 4), MAX(21/C30, 4))</f>
        <v>42</v>
      </c>
      <c r="D123" s="171">
        <f>ROUNDUP((C123+C119)/2, 0)</f>
        <v>63</v>
      </c>
      <c r="E123" s="138" t="str">
        <f>DEC2HEX(((D123)*2^0),8)</f>
        <v>0000003F</v>
      </c>
      <c r="F123" s="195" t="s">
        <v>225</v>
      </c>
      <c r="G123" s="140"/>
      <c r="H123" s="140"/>
      <c r="I123" s="50"/>
      <c r="J123" s="1"/>
      <c r="K123" s="1"/>
      <c r="L123" s="1"/>
      <c r="M123" s="1"/>
      <c r="N123" s="1"/>
      <c r="O123" s="1"/>
      <c r="P123" s="1"/>
      <c r="Q123" s="1"/>
      <c r="R123" s="1"/>
      <c r="S123" s="1"/>
      <c r="T123" s="1"/>
      <c r="U123" s="1"/>
      <c r="V123" s="1"/>
    </row>
    <row r="124" ht="12.0" customHeight="1">
      <c r="A124" s="1"/>
      <c r="B124" s="109"/>
      <c r="C124" s="209"/>
      <c r="D124" s="109"/>
      <c r="E124" s="142"/>
      <c r="F124" s="151"/>
      <c r="G124" s="142"/>
      <c r="H124" s="142"/>
      <c r="I124" s="142"/>
      <c r="J124" s="1"/>
      <c r="K124" s="1"/>
      <c r="L124" s="1"/>
      <c r="M124" s="1"/>
      <c r="N124" s="1"/>
      <c r="O124" s="1"/>
      <c r="P124" s="1"/>
      <c r="Q124" s="1"/>
      <c r="R124" s="1"/>
      <c r="S124" s="1"/>
      <c r="T124" s="1"/>
      <c r="U124" s="1"/>
      <c r="V124" s="1"/>
    </row>
    <row r="125" ht="12.0" customHeight="1">
      <c r="A125" s="1"/>
      <c r="B125" s="111" t="s">
        <v>168</v>
      </c>
      <c r="C125" s="111" t="s">
        <v>226</v>
      </c>
      <c r="D125" s="210" t="s">
        <v>227</v>
      </c>
      <c r="E125" s="111" t="s">
        <v>85</v>
      </c>
      <c r="F125" s="112" t="s">
        <v>86</v>
      </c>
      <c r="G125" s="113" t="s">
        <v>87</v>
      </c>
      <c r="H125" s="111" t="s">
        <v>171</v>
      </c>
      <c r="I125" s="111" t="s">
        <v>89</v>
      </c>
      <c r="J125" s="1"/>
      <c r="K125" s="1"/>
      <c r="L125" s="1"/>
      <c r="M125" s="1"/>
      <c r="N125" s="1"/>
      <c r="O125" s="1"/>
      <c r="P125" s="1"/>
      <c r="Q125" s="1"/>
      <c r="R125" s="1"/>
      <c r="S125" s="1"/>
      <c r="T125" s="1"/>
      <c r="U125" s="1"/>
      <c r="V125" s="1"/>
    </row>
    <row r="126" ht="4.5" customHeight="1">
      <c r="A126" s="1"/>
      <c r="B126" s="211"/>
      <c r="C126" s="212"/>
      <c r="D126" s="213"/>
      <c r="E126" s="212"/>
      <c r="F126" s="214"/>
      <c r="G126" s="212"/>
      <c r="H126" s="212"/>
      <c r="I126" s="215"/>
      <c r="J126" s="1"/>
      <c r="K126" s="1"/>
      <c r="L126" s="1"/>
      <c r="M126" s="1"/>
      <c r="N126" s="1"/>
      <c r="O126" s="1"/>
      <c r="P126" s="1"/>
      <c r="Q126" s="1"/>
      <c r="R126" s="1"/>
      <c r="S126" s="1"/>
      <c r="T126" s="1"/>
      <c r="U126" s="1"/>
      <c r="V126" s="1"/>
    </row>
    <row r="127" ht="199.5" customHeight="1">
      <c r="A127" s="26"/>
      <c r="B127" s="116" t="s">
        <v>228</v>
      </c>
      <c r="C127" s="216">
        <f>IF(D215=1,IF(C29&lt;=266,4,IF(C29&lt;=533,8,IF(C29&lt;=800,12,IF(C29&lt;=1066,18,IF(C29&lt;=1333,22,IF(C29&lt;=1600,26,IF(C29&lt;=1866,30,34))))))),IF(C29&lt;=266,4,IF(C29&lt;=533,6,IF(C29&lt;=800,8,IF(C29&lt;=1066,10,IF(C29&lt;=1333,12,IF(C29&lt;=1600,14,IF(C29&lt;=1866,16,18))))))))</f>
        <v>18</v>
      </c>
      <c r="D127" s="173">
        <f t="shared" ref="D127:D128" si="3">ROUNDUP((C127)/2,0)</f>
        <v>9</v>
      </c>
      <c r="E127" s="154" t="str">
        <f>DEC2HEX(((D127)*2^24),8)</f>
        <v>09000000</v>
      </c>
      <c r="F127" s="155" t="s">
        <v>229</v>
      </c>
      <c r="G127" s="156" t="s">
        <v>230</v>
      </c>
      <c r="H127" s="156" t="str">
        <f>"0x"&amp;DEC2HEX((HEX2DEC(C35)+264), 8)</f>
        <v>0x3D400108</v>
      </c>
      <c r="I127" s="157" t="str">
        <f>"0x"&amp;DEC2HEX((HEX2DEC(E127)+HEX2DEC(E128)+HEX2DEC(E129)+HEX2DEC(E130)), 8)</f>
        <v>0x09121C1C</v>
      </c>
      <c r="J127" s="134"/>
      <c r="K127" s="1"/>
      <c r="L127" s="1"/>
      <c r="M127" s="1"/>
      <c r="N127" s="1"/>
      <c r="O127" s="1"/>
      <c r="P127" s="1"/>
      <c r="Q127" s="1"/>
      <c r="R127" s="1"/>
      <c r="S127" s="1"/>
      <c r="T127" s="1"/>
      <c r="U127" s="1"/>
      <c r="V127" s="1"/>
    </row>
    <row r="128" ht="192.0" customHeight="1">
      <c r="A128" s="26"/>
      <c r="B128" s="123" t="s">
        <v>231</v>
      </c>
      <c r="C128" s="133">
        <f>IF(D222=1,IF(C29&lt;=266,6,IF(C29&lt;=533,12,IF(C29&lt;=800,16,IF(C29&lt;=1066,22,IF(C29&lt;=1333,28,IF(C29&lt;=1600,32,IF(C29&lt;=1866,36,40))))))),IF(C29&lt;=266,6,IF(C29&lt;=533,10,IF(C29&lt;=800,14,IF(C29&lt;=1066,20,IF(C29&lt;=1333,24,IF(C29&lt;=1600,28,IF(C29&lt;=1866,32,36))))))))</f>
        <v>36</v>
      </c>
      <c r="D128" s="129">
        <f t="shared" si="3"/>
        <v>18</v>
      </c>
      <c r="E128" s="206" t="str">
        <f>DEC2HEX(((D128)*2^16),8)</f>
        <v>00120000</v>
      </c>
      <c r="F128" s="207" t="s">
        <v>232</v>
      </c>
      <c r="G128" s="60"/>
      <c r="H128" s="60"/>
      <c r="I128" s="164"/>
      <c r="J128" s="134"/>
      <c r="K128" s="1"/>
      <c r="L128" s="1"/>
      <c r="M128" s="1"/>
      <c r="N128" s="1"/>
      <c r="O128" s="1"/>
      <c r="P128" s="1"/>
      <c r="Q128" s="1"/>
      <c r="R128" s="1"/>
      <c r="S128" s="1"/>
      <c r="T128" s="1"/>
      <c r="U128" s="1"/>
      <c r="V128" s="1"/>
    </row>
    <row r="129" ht="12.0" customHeight="1">
      <c r="A129" s="26"/>
      <c r="B129" s="128" t="s">
        <v>233</v>
      </c>
      <c r="C129" s="188">
        <v>3.6</v>
      </c>
      <c r="D129" s="217">
        <f>ROUNDUP((C128+D48+ROUNDUP(C129/C30, 0) + (0.5+D209) - (IF(C29&lt;1333, 4, 6)) -ROUNDUP((1.5/C30),0) + (C127 - N129)) /2,0)</f>
        <v>28</v>
      </c>
      <c r="E129" s="130" t="str">
        <f>DEC2HEX(((D129)*2^8),8)</f>
        <v>00001C00</v>
      </c>
      <c r="F129" s="131" t="s">
        <v>234</v>
      </c>
      <c r="G129" s="60"/>
      <c r="H129" s="60"/>
      <c r="I129" s="164"/>
      <c r="J129" s="218"/>
      <c r="K129" s="1"/>
      <c r="L129" s="1"/>
      <c r="M129" s="219" t="s">
        <v>235</v>
      </c>
      <c r="N129" s="219">
        <f>IF(C127&lt;10, 0, IF(C127&lt;14, 4, IF(C127&lt;18, 6, 8)))</f>
        <v>8</v>
      </c>
      <c r="O129" s="1"/>
      <c r="P129" s="1"/>
      <c r="Q129" s="1"/>
      <c r="R129" s="1"/>
      <c r="S129" s="1"/>
      <c r="T129" s="1"/>
      <c r="U129" s="1"/>
      <c r="V129" s="1"/>
    </row>
    <row r="130" ht="12.0" customHeight="1">
      <c r="A130" s="1"/>
      <c r="B130" s="135" t="s">
        <v>236</v>
      </c>
      <c r="C130" s="171">
        <f>MAX(10/C30, 8)</f>
        <v>20</v>
      </c>
      <c r="D130" s="171">
        <f>ROUNDUP((C127+D48+ C130  + 1 + (C127/2))/2, 0)</f>
        <v>28</v>
      </c>
      <c r="E130" s="138" t="str">
        <f>DEC2HEX(((D130)*2^0),8)</f>
        <v>0000001C</v>
      </c>
      <c r="F130" s="139" t="s">
        <v>237</v>
      </c>
      <c r="G130" s="140"/>
      <c r="H130" s="140"/>
      <c r="I130" s="50"/>
      <c r="J130" s="218"/>
      <c r="K130" s="1"/>
      <c r="L130" s="1"/>
      <c r="M130" s="1"/>
      <c r="N130" s="1"/>
      <c r="O130" s="1"/>
      <c r="P130" s="1"/>
      <c r="Q130" s="1"/>
      <c r="R130" s="1"/>
      <c r="S130" s="1"/>
      <c r="T130" s="1"/>
      <c r="U130" s="1"/>
      <c r="V130" s="1"/>
    </row>
    <row r="131" ht="12.0" customHeight="1">
      <c r="A131" s="1"/>
      <c r="B131" s="159"/>
      <c r="C131" s="159"/>
      <c r="D131" s="159"/>
      <c r="E131" s="160"/>
      <c r="F131" s="151"/>
      <c r="G131" s="142"/>
      <c r="H131" s="142"/>
      <c r="I131" s="142"/>
      <c r="J131" s="1"/>
      <c r="K131" s="1"/>
      <c r="L131" s="1"/>
      <c r="M131" s="1"/>
      <c r="N131" s="1"/>
      <c r="O131" s="1"/>
      <c r="P131" s="1"/>
      <c r="Q131" s="1"/>
      <c r="R131" s="1"/>
      <c r="S131" s="1"/>
      <c r="T131" s="1"/>
      <c r="U131" s="1"/>
      <c r="V131" s="1"/>
    </row>
    <row r="132" ht="12.0" customHeight="1">
      <c r="A132" s="1"/>
      <c r="B132" s="116" t="s">
        <v>238</v>
      </c>
      <c r="C132" s="173">
        <f>MAX(14/C30, 10)</f>
        <v>28</v>
      </c>
      <c r="D132" s="173">
        <f t="shared" ref="D132:D133" si="4">ROUNDUP((C132)/2,0)</f>
        <v>14</v>
      </c>
      <c r="E132" s="154" t="str">
        <f>DEC2HEX(((D132)*2^20),8)</f>
        <v>00E00000</v>
      </c>
      <c r="F132" s="184" t="s">
        <v>239</v>
      </c>
      <c r="G132" s="156" t="s">
        <v>240</v>
      </c>
      <c r="H132" s="156" t="str">
        <f>"0x"&amp;DEC2HEX((HEX2DEC(C35)+268), 8)</f>
        <v>0x3D40010C</v>
      </c>
      <c r="I132" s="157" t="str">
        <f>"0x"&amp;DEC2HEX((HEX2DEC(E132)+HEX2DEC(E133)+HEX2DEC(E134)), 8)</f>
        <v>0x00E0E000</v>
      </c>
      <c r="J132" s="1"/>
      <c r="K132" s="1"/>
      <c r="L132" s="1"/>
      <c r="M132" s="1"/>
      <c r="N132" s="1"/>
      <c r="O132" s="1"/>
      <c r="P132" s="1"/>
      <c r="Q132" s="1"/>
      <c r="R132" s="1"/>
      <c r="S132" s="1"/>
      <c r="T132" s="1"/>
      <c r="U132" s="1"/>
      <c r="V132" s="1"/>
    </row>
    <row r="133" ht="12.0" customHeight="1">
      <c r="A133" s="1"/>
      <c r="B133" s="128" t="s">
        <v>241</v>
      </c>
      <c r="C133" s="129">
        <f>MAX(14/C30, 10)</f>
        <v>28</v>
      </c>
      <c r="D133" s="129">
        <f t="shared" si="4"/>
        <v>14</v>
      </c>
      <c r="E133" s="130" t="str">
        <f>DEC2HEX(((D133)*2^12),8)</f>
        <v>0000E000</v>
      </c>
      <c r="F133" s="187" t="s">
        <v>242</v>
      </c>
      <c r="G133" s="60"/>
      <c r="H133" s="60"/>
      <c r="I133" s="164"/>
      <c r="J133" s="1"/>
      <c r="K133" s="1"/>
      <c r="L133" s="1"/>
      <c r="M133" s="1"/>
      <c r="N133" s="1"/>
      <c r="O133" s="1"/>
      <c r="P133" s="1"/>
      <c r="Q133" s="1"/>
      <c r="R133" s="1"/>
      <c r="S133" s="1"/>
      <c r="T133" s="1"/>
      <c r="U133" s="1"/>
      <c r="V133" s="1"/>
    </row>
    <row r="134" ht="12.0" customHeight="1">
      <c r="A134" s="1"/>
      <c r="B134" s="135" t="s">
        <v>243</v>
      </c>
      <c r="C134" s="136">
        <v>0.0</v>
      </c>
      <c r="D134" s="137">
        <f>(C134/2)</f>
        <v>0</v>
      </c>
      <c r="E134" s="138" t="str">
        <f>DEC2HEX(((D134)*2^0),8)</f>
        <v>00000000</v>
      </c>
      <c r="F134" s="190" t="s">
        <v>244</v>
      </c>
      <c r="G134" s="140"/>
      <c r="H134" s="140"/>
      <c r="I134" s="50"/>
      <c r="J134" s="194"/>
      <c r="K134" s="1"/>
      <c r="L134" s="1"/>
      <c r="M134" s="1"/>
      <c r="N134" s="1"/>
      <c r="O134" s="1"/>
      <c r="P134" s="1"/>
      <c r="Q134" s="1"/>
      <c r="R134" s="1"/>
      <c r="S134" s="1"/>
      <c r="T134" s="1"/>
      <c r="U134" s="1"/>
      <c r="V134" s="1"/>
    </row>
    <row r="135" ht="13.5" customHeight="1">
      <c r="A135" s="1"/>
      <c r="B135" s="159"/>
      <c r="C135" s="159"/>
      <c r="D135" s="159"/>
      <c r="E135" s="160"/>
      <c r="F135" s="151"/>
      <c r="G135" s="142"/>
      <c r="H135" s="142"/>
      <c r="I135" s="142"/>
      <c r="J135" s="1"/>
      <c r="K135" s="1"/>
      <c r="L135" s="1"/>
      <c r="M135" s="1"/>
      <c r="N135" s="1"/>
      <c r="O135" s="1"/>
      <c r="P135" s="1"/>
      <c r="Q135" s="1"/>
      <c r="R135" s="1"/>
      <c r="S135" s="1"/>
      <c r="T135" s="1"/>
      <c r="U135" s="1"/>
      <c r="V135" s="1"/>
    </row>
    <row r="136" ht="12.0" customHeight="1">
      <c r="A136" s="1"/>
      <c r="B136" s="116" t="s">
        <v>245</v>
      </c>
      <c r="C136" s="168">
        <f>IF((G40 = "Option 2"), MAX((18+1.875)/C30, 4), MAX(18/C30, 4))</f>
        <v>36</v>
      </c>
      <c r="D136" s="173">
        <f>ROUNDUP(((C136)/2),0)</f>
        <v>18</v>
      </c>
      <c r="E136" s="154" t="str">
        <f>DEC2HEX(((D136)*2^24),8)</f>
        <v>12000000</v>
      </c>
      <c r="F136" s="155" t="s">
        <v>246</v>
      </c>
      <c r="G136" s="156" t="s">
        <v>247</v>
      </c>
      <c r="H136" s="156" t="str">
        <f>"0x"&amp;DEC2HEX((HEX2DEC(C35)+272), 8)</f>
        <v>0x3D400110</v>
      </c>
      <c r="I136" s="157" t="str">
        <f>"0x"&amp;DEC2HEX((HEX2DEC(E136)+HEX2DEC(E137)+HEX2DEC(E138)+HEX2DEC(E139)), 8)</f>
        <v>0x12040A12</v>
      </c>
      <c r="J136" s="1"/>
      <c r="K136" s="1"/>
      <c r="L136" s="1"/>
      <c r="M136" s="1"/>
      <c r="N136" s="1"/>
      <c r="O136" s="1"/>
      <c r="P136" s="1"/>
      <c r="Q136" s="1"/>
      <c r="R136" s="1"/>
      <c r="S136" s="1"/>
      <c r="T136" s="1"/>
      <c r="U136" s="1"/>
      <c r="V136" s="1"/>
    </row>
    <row r="137" ht="12.0" customHeight="1">
      <c r="A137" s="1"/>
      <c r="B137" s="128" t="s">
        <v>248</v>
      </c>
      <c r="C137" s="132">
        <v>8.0</v>
      </c>
      <c r="D137" s="129">
        <f>ROUNDUP(C137/2, 0)</f>
        <v>4</v>
      </c>
      <c r="E137" s="130" t="str">
        <f>DEC2HEX(((D137)*2^16),8)</f>
        <v>00040000</v>
      </c>
      <c r="F137" s="131" t="s">
        <v>249</v>
      </c>
      <c r="G137" s="60"/>
      <c r="H137" s="60"/>
      <c r="I137" s="164"/>
      <c r="J137" s="1"/>
      <c r="K137" s="1"/>
      <c r="L137" s="1"/>
      <c r="M137" s="1"/>
      <c r="N137" s="1"/>
      <c r="O137" s="1"/>
      <c r="P137" s="1"/>
      <c r="Q137" s="1"/>
      <c r="R137" s="1"/>
      <c r="S137" s="1"/>
      <c r="T137" s="1"/>
      <c r="U137" s="1"/>
      <c r="V137" s="1"/>
    </row>
    <row r="138" ht="12.0" customHeight="1">
      <c r="A138" s="1"/>
      <c r="B138" s="162" t="s">
        <v>250</v>
      </c>
      <c r="C138" s="129">
        <f>IF(G40 = "Option 2", MAX((10+1.875)/C30, 4), MAX(10/C30, 4))</f>
        <v>20</v>
      </c>
      <c r="D138" s="129">
        <f>ROUNDUP(((C138)/2),0)</f>
        <v>10</v>
      </c>
      <c r="E138" s="130" t="str">
        <f>DEC2HEX(((D138)*2^8),8)</f>
        <v>00000A00</v>
      </c>
      <c r="F138" s="163" t="s">
        <v>251</v>
      </c>
      <c r="G138" s="60"/>
      <c r="H138" s="60"/>
      <c r="I138" s="164"/>
      <c r="J138" s="1"/>
      <c r="K138" s="1"/>
      <c r="L138" s="1"/>
      <c r="M138" s="1"/>
      <c r="N138" s="1"/>
      <c r="O138" s="1"/>
      <c r="P138" s="1"/>
      <c r="Q138" s="1"/>
      <c r="R138" s="1"/>
      <c r="S138" s="1"/>
      <c r="T138" s="1"/>
      <c r="U138" s="1"/>
      <c r="V138" s="1"/>
    </row>
    <row r="139" ht="12.0" customHeight="1">
      <c r="A139" s="26"/>
      <c r="B139" s="135" t="s">
        <v>252</v>
      </c>
      <c r="C139" s="183">
        <f>IF((G40 = "Option 2"), MAX((18+1.875)/C30, 4), MAX(18/C30, 4))</f>
        <v>36</v>
      </c>
      <c r="D139" s="183">
        <f>ROUNDUP((C139)/2,0)</f>
        <v>18</v>
      </c>
      <c r="E139" s="138" t="str">
        <f>DEC2HEX(((D139)*2^0),8)</f>
        <v>00000012</v>
      </c>
      <c r="F139" s="139" t="s">
        <v>253</v>
      </c>
      <c r="G139" s="140"/>
      <c r="H139" s="140"/>
      <c r="I139" s="50"/>
      <c r="J139" s="218"/>
      <c r="K139" s="1"/>
      <c r="L139" s="1"/>
      <c r="M139" s="1"/>
      <c r="N139" s="1"/>
      <c r="O139" s="1"/>
      <c r="P139" s="1"/>
      <c r="Q139" s="1"/>
      <c r="R139" s="1"/>
      <c r="S139" s="1"/>
      <c r="T139" s="1"/>
      <c r="U139" s="1"/>
      <c r="V139" s="1"/>
    </row>
    <row r="140" ht="13.5" customHeight="1">
      <c r="A140" s="1"/>
      <c r="B140" s="159"/>
      <c r="C140" s="159"/>
      <c r="D140" s="159"/>
      <c r="E140" s="160"/>
      <c r="F140" s="151"/>
      <c r="G140" s="142"/>
      <c r="H140" s="142"/>
      <c r="I140" s="142"/>
      <c r="J140" s="1"/>
      <c r="K140" s="1"/>
      <c r="L140" s="1"/>
      <c r="M140" s="1"/>
      <c r="N140" s="1"/>
      <c r="O140" s="1"/>
      <c r="P140" s="1"/>
      <c r="Q140" s="1"/>
      <c r="R140" s="1"/>
      <c r="S140" s="1"/>
      <c r="T140" s="1"/>
      <c r="U140" s="1"/>
      <c r="V140" s="1"/>
    </row>
    <row r="141" ht="12.0" customHeight="1">
      <c r="A141" s="1"/>
      <c r="B141" s="116" t="s">
        <v>254</v>
      </c>
      <c r="C141" s="168">
        <f>MAX(1.75/C30, 3)</f>
        <v>3.5</v>
      </c>
      <c r="D141" s="173">
        <f>ROUNDUP(((C141)/2),0)</f>
        <v>2</v>
      </c>
      <c r="E141" s="154" t="str">
        <f>DEC2HEX(((D141)*2^24),8)</f>
        <v>02000000</v>
      </c>
      <c r="F141" s="155" t="s">
        <v>255</v>
      </c>
      <c r="G141" s="156" t="s">
        <v>256</v>
      </c>
      <c r="H141" s="156" t="str">
        <f>"0x"&amp;DEC2HEX((HEX2DEC(C35)+276), 8)</f>
        <v>0x3D400114</v>
      </c>
      <c r="I141" s="157" t="str">
        <f>"0x"&amp;DEC2HEX((HEX2DEC(E141)+HEX2DEC(E142)+HEX2DEC(E143)+HEX2DEC(E144)), 8)</f>
        <v>0x02050F0F</v>
      </c>
      <c r="J141" s="220"/>
      <c r="K141" s="1"/>
      <c r="L141" s="1"/>
      <c r="M141" s="1"/>
      <c r="N141" s="1"/>
      <c r="O141" s="1"/>
      <c r="P141" s="1"/>
      <c r="Q141" s="1"/>
      <c r="R141" s="1"/>
      <c r="S141" s="1"/>
      <c r="T141" s="1"/>
      <c r="U141" s="1"/>
      <c r="V141" s="1"/>
    </row>
    <row r="142" ht="12.0" customHeight="1">
      <c r="A142" s="1"/>
      <c r="B142" s="128" t="s">
        <v>257</v>
      </c>
      <c r="C142" s="133">
        <f>MAX(5/C30, 5)</f>
        <v>10</v>
      </c>
      <c r="D142" s="129">
        <f>ROUNDUP((C142)/2,0)</f>
        <v>5</v>
      </c>
      <c r="E142" s="130" t="str">
        <f>DEC2HEX(((D142)*2^16),8)</f>
        <v>00050000</v>
      </c>
      <c r="F142" s="131" t="s">
        <v>258</v>
      </c>
      <c r="G142" s="60"/>
      <c r="H142" s="60"/>
      <c r="I142" s="164"/>
      <c r="J142" s="220"/>
      <c r="K142" s="1"/>
      <c r="L142" s="1"/>
      <c r="M142" s="1"/>
      <c r="N142" s="1"/>
      <c r="O142" s="1"/>
      <c r="P142" s="1"/>
      <c r="Q142" s="1"/>
      <c r="R142" s="1"/>
      <c r="S142" s="1"/>
      <c r="T142" s="1"/>
      <c r="U142" s="1"/>
      <c r="V142" s="1"/>
    </row>
    <row r="143" ht="12.0" customHeight="1">
      <c r="A143" s="1"/>
      <c r="B143" s="162" t="s">
        <v>259</v>
      </c>
      <c r="C143" s="133">
        <f>MAX(15/C30, 4)</f>
        <v>30</v>
      </c>
      <c r="D143" s="221">
        <f t="shared" ref="D143:D144" si="5">ROUNDUP(((C143)/2),0)</f>
        <v>15</v>
      </c>
      <c r="E143" s="181" t="str">
        <f>DEC2HEX(((D143)*2^8),8)</f>
        <v>00000F00</v>
      </c>
      <c r="F143" s="163" t="s">
        <v>260</v>
      </c>
      <c r="G143" s="60"/>
      <c r="H143" s="60"/>
      <c r="I143" s="164"/>
      <c r="J143" s="1"/>
      <c r="K143" s="1"/>
      <c r="L143" s="1"/>
      <c r="M143" s="1"/>
      <c r="N143" s="1"/>
      <c r="O143" s="1"/>
      <c r="P143" s="1"/>
      <c r="Q143" s="1"/>
      <c r="R143" s="1"/>
      <c r="S143" s="1"/>
      <c r="T143" s="1"/>
      <c r="U143" s="1"/>
      <c r="V143" s="1"/>
    </row>
    <row r="144" ht="12.0" customHeight="1">
      <c r="A144" s="1"/>
      <c r="B144" s="135" t="s">
        <v>261</v>
      </c>
      <c r="C144" s="171">
        <f>MAX(15/C30, 4)</f>
        <v>30</v>
      </c>
      <c r="D144" s="183">
        <f t="shared" si="5"/>
        <v>15</v>
      </c>
      <c r="E144" s="138" t="str">
        <f>DEC2HEX(((D144)*2^0),8)</f>
        <v>0000000F</v>
      </c>
      <c r="F144" s="139" t="s">
        <v>262</v>
      </c>
      <c r="G144" s="140"/>
      <c r="H144" s="140"/>
      <c r="I144" s="50"/>
      <c r="J144" s="1"/>
      <c r="K144" s="1"/>
      <c r="L144" s="1"/>
      <c r="M144" s="1"/>
      <c r="N144" s="1"/>
      <c r="O144" s="1"/>
      <c r="P144" s="1"/>
      <c r="Q144" s="1"/>
      <c r="R144" s="1"/>
      <c r="S144" s="1"/>
      <c r="T144" s="1"/>
      <c r="U144" s="1"/>
      <c r="V144" s="1"/>
    </row>
    <row r="145" ht="12.0" customHeight="1">
      <c r="A145" s="1"/>
      <c r="E145" s="160"/>
      <c r="G145" s="160"/>
      <c r="H145" s="160"/>
      <c r="I145" s="160"/>
      <c r="J145" s="1"/>
      <c r="K145" s="1"/>
      <c r="L145" s="1"/>
      <c r="M145" s="1"/>
      <c r="N145" s="1"/>
      <c r="O145" s="1"/>
      <c r="P145" s="1"/>
      <c r="Q145" s="1"/>
      <c r="R145" s="1"/>
      <c r="S145" s="1"/>
      <c r="T145" s="1"/>
      <c r="U145" s="1"/>
      <c r="V145" s="1"/>
    </row>
    <row r="146" ht="18.75" customHeight="1">
      <c r="A146" s="1"/>
      <c r="B146" s="152" t="s">
        <v>263</v>
      </c>
      <c r="C146" s="153"/>
      <c r="D146" s="153"/>
      <c r="E146" s="153"/>
      <c r="F146" s="153"/>
      <c r="G146" s="153"/>
      <c r="H146" s="153"/>
      <c r="I146" s="73"/>
      <c r="J146" s="1"/>
      <c r="K146" s="1"/>
      <c r="L146" s="1"/>
      <c r="M146" s="1"/>
      <c r="N146" s="1"/>
      <c r="O146" s="1"/>
      <c r="P146" s="1"/>
      <c r="Q146" s="1"/>
      <c r="R146" s="1"/>
      <c r="S146" s="1"/>
      <c r="T146" s="1"/>
      <c r="U146" s="1"/>
      <c r="V146" s="1"/>
    </row>
    <row r="147" ht="12.0" customHeight="1">
      <c r="A147" s="1"/>
      <c r="B147" s="116" t="s">
        <v>264</v>
      </c>
      <c r="C147" s="154">
        <v>2.0</v>
      </c>
      <c r="D147" s="119">
        <f t="shared" ref="D147:D148" si="6">(C147/2)</f>
        <v>1</v>
      </c>
      <c r="E147" s="154" t="str">
        <f>DEC2HEX(((D147)*2^24),8)</f>
        <v>01000000</v>
      </c>
      <c r="F147" s="155" t="s">
        <v>265</v>
      </c>
      <c r="G147" s="156" t="s">
        <v>266</v>
      </c>
      <c r="H147" s="156" t="str">
        <f>"0x"&amp;DEC2HEX((HEX2DEC(C35)+280), 8)</f>
        <v>0x3D400118</v>
      </c>
      <c r="I147" s="157" t="str">
        <f>"0x"&amp;DEC2HEX((HEX2DEC(E147)+HEX2DEC(E148)+HEX2DEC(E149)), 8)</f>
        <v>0x01010009</v>
      </c>
      <c r="J147" s="1"/>
      <c r="K147" s="1"/>
      <c r="L147" s="1"/>
      <c r="M147" s="1"/>
      <c r="N147" s="1"/>
      <c r="O147" s="1"/>
      <c r="P147" s="1"/>
      <c r="Q147" s="1"/>
      <c r="R147" s="1"/>
      <c r="S147" s="1"/>
      <c r="T147" s="1"/>
      <c r="U147" s="1"/>
      <c r="V147" s="1"/>
    </row>
    <row r="148" ht="12.0" customHeight="1">
      <c r="A148" s="1"/>
      <c r="B148" s="222" t="s">
        <v>267</v>
      </c>
      <c r="C148" s="130">
        <v>2.0</v>
      </c>
      <c r="D148" s="132">
        <f t="shared" si="6"/>
        <v>1</v>
      </c>
      <c r="E148" s="223" t="str">
        <f>DEC2HEX(((D148)*2^16),8)</f>
        <v>00010000</v>
      </c>
      <c r="F148" s="224" t="s">
        <v>268</v>
      </c>
      <c r="G148" s="60"/>
      <c r="H148" s="60"/>
      <c r="I148" s="164"/>
      <c r="J148" s="1"/>
      <c r="K148" s="1"/>
      <c r="L148" s="1"/>
      <c r="M148" s="1"/>
      <c r="N148" s="1"/>
      <c r="O148" s="1"/>
      <c r="P148" s="1"/>
      <c r="Q148" s="1"/>
      <c r="R148" s="1"/>
      <c r="S148" s="1"/>
      <c r="T148" s="1"/>
      <c r="U148" s="1"/>
      <c r="V148" s="1"/>
    </row>
    <row r="149" ht="12.0" customHeight="1">
      <c r="A149" s="1"/>
      <c r="B149" s="135" t="s">
        <v>269</v>
      </c>
      <c r="C149" s="225" t="s">
        <v>91</v>
      </c>
      <c r="D149" s="137">
        <f>ROUNDUP(((C121)+2)/2,0)</f>
        <v>9</v>
      </c>
      <c r="E149" s="138" t="str">
        <f>DEC2HEX(((D149)*2^0),8)</f>
        <v>00000009</v>
      </c>
      <c r="F149" s="139" t="s">
        <v>270</v>
      </c>
      <c r="G149" s="140"/>
      <c r="H149" s="140"/>
      <c r="I149" s="50"/>
      <c r="J149" s="1"/>
      <c r="K149" s="1"/>
      <c r="L149" s="1"/>
      <c r="M149" s="1"/>
      <c r="N149" s="1"/>
      <c r="O149" s="1"/>
      <c r="P149" s="1"/>
      <c r="Q149" s="1"/>
      <c r="R149" s="1"/>
      <c r="S149" s="1"/>
      <c r="T149" s="1"/>
      <c r="U149" s="1"/>
      <c r="V149" s="1"/>
    </row>
    <row r="150" ht="9.75" customHeight="1">
      <c r="A150" s="1"/>
      <c r="B150" s="109"/>
      <c r="C150" s="109"/>
      <c r="D150" s="109"/>
      <c r="E150" s="142"/>
      <c r="F150" s="143"/>
      <c r="G150" s="142"/>
      <c r="H150" s="142"/>
      <c r="I150" s="142"/>
      <c r="J150" s="1"/>
      <c r="K150" s="1"/>
      <c r="L150" s="1"/>
      <c r="M150" s="1"/>
      <c r="N150" s="1"/>
      <c r="O150" s="1"/>
      <c r="P150" s="1"/>
      <c r="Q150" s="1"/>
      <c r="R150" s="1"/>
      <c r="S150" s="1"/>
      <c r="T150" s="1"/>
      <c r="U150" s="1"/>
      <c r="V150" s="1"/>
    </row>
    <row r="151" ht="18.75" customHeight="1">
      <c r="A151" s="1"/>
      <c r="B151" s="152" t="s">
        <v>271</v>
      </c>
      <c r="C151" s="153"/>
      <c r="D151" s="153"/>
      <c r="E151" s="153"/>
      <c r="F151" s="153"/>
      <c r="G151" s="153"/>
      <c r="H151" s="153"/>
      <c r="I151" s="73"/>
      <c r="J151" s="1"/>
      <c r="K151" s="1"/>
      <c r="L151" s="1"/>
      <c r="M151" s="1"/>
      <c r="N151" s="1"/>
      <c r="O151" s="1"/>
      <c r="P151" s="1"/>
      <c r="Q151" s="1"/>
      <c r="R151" s="1"/>
      <c r="S151" s="1"/>
      <c r="T151" s="1"/>
      <c r="U151" s="1"/>
      <c r="V151" s="1"/>
    </row>
    <row r="152" ht="12.0" customHeight="1">
      <c r="A152" s="1"/>
      <c r="B152" s="116" t="s">
        <v>272</v>
      </c>
      <c r="C152" s="176">
        <f>MAX(5/C30, 5)</f>
        <v>10</v>
      </c>
      <c r="D152" s="168">
        <f>ROUNDUP((C152)/2,0)</f>
        <v>5</v>
      </c>
      <c r="E152" s="154" t="str">
        <f>DEC2HEX(((D152)*2^8),8)</f>
        <v>00000500</v>
      </c>
      <c r="F152" s="155" t="s">
        <v>273</v>
      </c>
      <c r="G152" s="156" t="s">
        <v>274</v>
      </c>
      <c r="H152" s="156" t="str">
        <f>"0x"&amp;DEC2HEX((HEX2DEC(C35)+284), 8)</f>
        <v>0x3D40011C</v>
      </c>
      <c r="I152" s="157" t="str">
        <f>"0x"&amp;DEC2HEX((HEX2DEC(E152)+HEX2DEC(E153)), 8)</f>
        <v>0x00000501</v>
      </c>
      <c r="J152" s="220"/>
      <c r="K152" s="1"/>
      <c r="L152" s="1"/>
      <c r="M152" s="1"/>
      <c r="N152" s="1"/>
      <c r="O152" s="1"/>
      <c r="P152" s="1"/>
      <c r="Q152" s="1"/>
      <c r="R152" s="1"/>
      <c r="S152" s="1"/>
      <c r="T152" s="1"/>
      <c r="U152" s="1"/>
      <c r="V152" s="1"/>
    </row>
    <row r="153" ht="12.0" customHeight="1">
      <c r="A153" s="1"/>
      <c r="B153" s="135" t="s">
        <v>275</v>
      </c>
      <c r="C153" s="138">
        <v>2.0</v>
      </c>
      <c r="D153" s="171">
        <f>IF(C17="LPDDR4", ROUNDUP(C153/2, 0), 2)</f>
        <v>1</v>
      </c>
      <c r="E153" s="138" t="str">
        <f>DEC2HEX(((D153)*2^0),8)</f>
        <v>00000001</v>
      </c>
      <c r="F153" s="139" t="s">
        <v>276</v>
      </c>
      <c r="G153" s="140"/>
      <c r="H153" s="140"/>
      <c r="I153" s="50"/>
      <c r="J153" s="1"/>
      <c r="K153" s="1"/>
      <c r="L153" s="1"/>
      <c r="M153" s="1"/>
      <c r="N153" s="1"/>
      <c r="O153" s="1"/>
      <c r="P153" s="1"/>
      <c r="Q153" s="1"/>
      <c r="R153" s="1"/>
      <c r="S153" s="1"/>
      <c r="T153" s="1"/>
      <c r="U153" s="1"/>
      <c r="V153" s="1"/>
    </row>
    <row r="154" ht="12.0" customHeight="1">
      <c r="A154" s="1"/>
      <c r="B154" s="159"/>
      <c r="C154" s="159"/>
      <c r="D154" s="159"/>
      <c r="E154" s="160"/>
      <c r="F154" s="143"/>
      <c r="G154" s="142"/>
      <c r="H154" s="142"/>
      <c r="I154" s="142"/>
      <c r="J154" s="1"/>
      <c r="K154" s="1"/>
      <c r="L154" s="1"/>
      <c r="M154" s="1"/>
      <c r="N154" s="1"/>
      <c r="O154" s="1"/>
      <c r="P154" s="1"/>
      <c r="Q154" s="1"/>
      <c r="R154" s="1"/>
      <c r="S154" s="1"/>
      <c r="T154" s="1"/>
      <c r="U154" s="1"/>
      <c r="V154" s="1"/>
    </row>
    <row r="155" ht="12.0" customHeight="1">
      <c r="A155" s="1"/>
      <c r="B155" s="116" t="s">
        <v>277</v>
      </c>
      <c r="C155" s="168">
        <f>MAX(1.75/C30, 3)</f>
        <v>3.5</v>
      </c>
      <c r="D155" s="168">
        <f t="shared" ref="D155:D156" si="7">ROUNDUP(((C155)/2),0)</f>
        <v>2</v>
      </c>
      <c r="E155" s="154" t="str">
        <f>DEC2HEX(((D155)*2^16),8)</f>
        <v>00020000</v>
      </c>
      <c r="F155" s="155" t="s">
        <v>278</v>
      </c>
      <c r="G155" s="156" t="s">
        <v>279</v>
      </c>
      <c r="H155" s="156" t="str">
        <f>"0x"&amp;DEC2HEX((HEX2DEC(C35)+304), 8)</f>
        <v>0x3D400130</v>
      </c>
      <c r="I155" s="157" t="str">
        <f>"0x"&amp;DEC2HEX((HEX2DEC(E155)+HEX2DEC(E156)+HEX2DEC(E157)), 8)</f>
        <v>0x00020800</v>
      </c>
      <c r="J155" s="226"/>
      <c r="K155" s="1"/>
      <c r="L155" s="1"/>
      <c r="M155" s="1"/>
      <c r="N155" s="1"/>
      <c r="O155" s="1"/>
      <c r="P155" s="1"/>
      <c r="Q155" s="1"/>
      <c r="R155" s="1"/>
      <c r="S155" s="1"/>
      <c r="T155" s="1"/>
      <c r="U155" s="1"/>
      <c r="V155" s="1"/>
    </row>
    <row r="156" ht="12.0" customHeight="1">
      <c r="A156" s="1"/>
      <c r="B156" s="128" t="s">
        <v>280</v>
      </c>
      <c r="C156" s="133">
        <f>MAX(7.5/C30, 5)</f>
        <v>15</v>
      </c>
      <c r="D156" s="133">
        <f t="shared" si="7"/>
        <v>8</v>
      </c>
      <c r="E156" s="130" t="str">
        <f>DEC2HEX(((D156)*2^8),8)</f>
        <v>00000800</v>
      </c>
      <c r="F156" s="131" t="s">
        <v>281</v>
      </c>
      <c r="G156" s="60"/>
      <c r="H156" s="60"/>
      <c r="I156" s="164"/>
      <c r="J156" s="1"/>
      <c r="K156" s="1"/>
      <c r="L156" s="1"/>
      <c r="M156" s="1"/>
      <c r="N156" s="1"/>
      <c r="O156" s="1"/>
      <c r="P156" s="1"/>
      <c r="Q156" s="1"/>
      <c r="R156" s="1"/>
      <c r="S156" s="1"/>
      <c r="T156" s="1"/>
      <c r="U156" s="1"/>
      <c r="V156" s="1"/>
    </row>
    <row r="157" ht="12.0" customHeight="1">
      <c r="A157" s="1"/>
      <c r="B157" s="135" t="s">
        <v>282</v>
      </c>
      <c r="C157" s="227" t="s">
        <v>91</v>
      </c>
      <c r="D157" s="228">
        <v>0.0</v>
      </c>
      <c r="E157" s="138" t="str">
        <f>DEC2HEX(((D157)*2^0),8)</f>
        <v>00000000</v>
      </c>
      <c r="F157" s="139" t="s">
        <v>283</v>
      </c>
      <c r="G157" s="140"/>
      <c r="H157" s="140"/>
      <c r="I157" s="50"/>
      <c r="J157" s="1"/>
      <c r="K157" s="1"/>
      <c r="L157" s="1"/>
      <c r="M157" s="1"/>
      <c r="N157" s="1"/>
      <c r="O157" s="1"/>
      <c r="P157" s="1"/>
      <c r="Q157" s="1"/>
      <c r="R157" s="1"/>
      <c r="S157" s="1"/>
      <c r="T157" s="1"/>
      <c r="U157" s="1"/>
      <c r="V157" s="1"/>
    </row>
    <row r="158" ht="12.0" customHeight="1">
      <c r="A158" s="1"/>
      <c r="B158" s="109"/>
      <c r="C158" s="229"/>
      <c r="D158" s="229"/>
      <c r="E158" s="142"/>
      <c r="F158" s="143"/>
      <c r="G158" s="142"/>
      <c r="H158" s="142"/>
      <c r="I158" s="142"/>
      <c r="J158" s="1"/>
      <c r="K158" s="1"/>
      <c r="L158" s="1"/>
      <c r="M158" s="1"/>
      <c r="N158" s="1"/>
      <c r="O158" s="1"/>
      <c r="P158" s="1"/>
      <c r="Q158" s="1"/>
      <c r="R158" s="1"/>
      <c r="S158" s="1"/>
      <c r="T158" s="1"/>
      <c r="U158" s="1"/>
      <c r="V158" s="1"/>
    </row>
    <row r="159" ht="12.0" customHeight="1">
      <c r="A159" s="1"/>
      <c r="B159" s="116" t="s">
        <v>284</v>
      </c>
      <c r="C159" s="168">
        <f>IF(C29&lt;1066,20,(IF(C29&lt;1333,22,IF(C29&lt;1600,24,28))))</f>
        <v>28</v>
      </c>
      <c r="D159" s="168">
        <f t="shared" ref="D159:D161" si="8">ROUNDUP(((C159)/2),0)</f>
        <v>14</v>
      </c>
      <c r="E159" s="154" t="str">
        <f>DEC2HEX(((D159)*2^24),8)</f>
        <v>0E000000</v>
      </c>
      <c r="F159" s="155" t="s">
        <v>285</v>
      </c>
      <c r="G159" s="156" t="s">
        <v>286</v>
      </c>
      <c r="H159" s="156" t="str">
        <f>"0x"&amp;DEC2HEX((HEX2DEC(C35)+308), 8)</f>
        <v>0x3D400134</v>
      </c>
      <c r="I159" s="157" t="str">
        <f>"0x"&amp;DEC2HEX((HEX2DEC(E159)+HEX2DEC(E160)+HEX2DEC(E161)), 8)</f>
        <v>0x0E100002</v>
      </c>
      <c r="J159" s="1"/>
      <c r="K159" s="1"/>
      <c r="L159" s="1"/>
      <c r="M159" s="1"/>
      <c r="N159" s="1"/>
      <c r="O159" s="1"/>
      <c r="P159" s="1"/>
      <c r="Q159" s="1"/>
      <c r="R159" s="1"/>
      <c r="S159" s="1"/>
      <c r="T159" s="1"/>
      <c r="U159" s="1"/>
      <c r="V159" s="1"/>
    </row>
    <row r="160" ht="12.0" customHeight="1">
      <c r="A160" s="1"/>
      <c r="B160" s="128" t="s">
        <v>287</v>
      </c>
      <c r="C160" s="230">
        <v>32.0</v>
      </c>
      <c r="D160" s="133">
        <f t="shared" si="8"/>
        <v>16</v>
      </c>
      <c r="E160" s="130" t="str">
        <f>DEC2HEX(((D160)*2^16),8)</f>
        <v>00100000</v>
      </c>
      <c r="F160" s="131" t="s">
        <v>288</v>
      </c>
      <c r="G160" s="60"/>
      <c r="H160" s="60"/>
      <c r="I160" s="164"/>
      <c r="J160" s="1"/>
      <c r="K160" s="1"/>
      <c r="L160" s="1"/>
      <c r="M160" s="1"/>
      <c r="N160" s="1"/>
      <c r="O160" s="1"/>
      <c r="P160" s="1"/>
      <c r="Q160" s="1"/>
      <c r="R160" s="1"/>
      <c r="S160" s="1"/>
      <c r="T160" s="1"/>
      <c r="U160" s="1"/>
      <c r="V160" s="1"/>
    </row>
    <row r="161" ht="12.0" customHeight="1">
      <c r="A161" s="1"/>
      <c r="B161" s="135" t="s">
        <v>289</v>
      </c>
      <c r="C161" s="231">
        <v>4.0</v>
      </c>
      <c r="D161" s="171">
        <f t="shared" si="8"/>
        <v>2</v>
      </c>
      <c r="E161" s="138" t="str">
        <f>DEC2HEX(((D161)*2^0),8)</f>
        <v>00000002</v>
      </c>
      <c r="F161" s="139" t="s">
        <v>290</v>
      </c>
      <c r="G161" s="140"/>
      <c r="H161" s="140"/>
      <c r="I161" s="50"/>
      <c r="J161" s="1"/>
      <c r="K161" s="1"/>
      <c r="L161" s="1"/>
      <c r="M161" s="1"/>
      <c r="N161" s="1"/>
      <c r="O161" s="1"/>
      <c r="P161" s="1"/>
      <c r="Q161" s="1"/>
      <c r="R161" s="1"/>
      <c r="S161" s="1"/>
      <c r="T161" s="1"/>
      <c r="U161" s="1"/>
      <c r="V161" s="1"/>
    </row>
    <row r="162" ht="12.0" customHeight="1">
      <c r="A162" s="1"/>
      <c r="B162" s="109"/>
      <c r="C162" s="166"/>
      <c r="D162" s="166"/>
      <c r="E162" s="142"/>
      <c r="F162" s="143"/>
      <c r="G162" s="142"/>
      <c r="H162" s="142"/>
      <c r="I162" s="142"/>
      <c r="J162" s="1"/>
      <c r="K162" s="1"/>
      <c r="L162" s="1"/>
      <c r="M162" s="1"/>
      <c r="N162" s="1"/>
      <c r="O162" s="1"/>
      <c r="P162" s="1"/>
      <c r="Q162" s="1"/>
      <c r="R162" s="1"/>
      <c r="S162" s="1"/>
      <c r="T162" s="1"/>
      <c r="U162" s="1"/>
      <c r="V162" s="1"/>
    </row>
    <row r="163" ht="12.0" customHeight="1">
      <c r="A163" s="1"/>
      <c r="B163" s="144" t="s">
        <v>291</v>
      </c>
      <c r="C163" s="232">
        <f>MAX((C100+7.5)/C30, 2)</f>
        <v>775</v>
      </c>
      <c r="D163" s="233">
        <f>ROUNDUP((C163)/2,0)</f>
        <v>388</v>
      </c>
      <c r="E163" s="147" t="str">
        <f>DEC2HEX(((D163)*2^0),8)</f>
        <v>00000184</v>
      </c>
      <c r="F163" s="148" t="s">
        <v>292</v>
      </c>
      <c r="G163" s="147" t="s">
        <v>293</v>
      </c>
      <c r="H163" s="147" t="str">
        <f>"0x"&amp;DEC2HEX((HEX2DEC(C35)+312), 8)</f>
        <v>0x3D400138</v>
      </c>
      <c r="I163" s="234" t="str">
        <f>"0x"&amp;DEC2HEX((HEX2DEC(E163)), 8)</f>
        <v>0x00000184</v>
      </c>
      <c r="J163" s="220"/>
      <c r="K163" s="1"/>
      <c r="L163" s="1"/>
      <c r="M163" s="1"/>
      <c r="N163" s="1"/>
      <c r="O163" s="1"/>
      <c r="P163" s="1"/>
      <c r="Q163" s="1"/>
      <c r="R163" s="1"/>
      <c r="S163" s="1"/>
      <c r="T163" s="1"/>
      <c r="U163" s="1"/>
      <c r="V163" s="1"/>
    </row>
    <row r="164" ht="12.0" customHeight="1">
      <c r="A164" s="1"/>
      <c r="B164" s="109"/>
      <c r="C164" s="235"/>
      <c r="D164" s="141"/>
      <c r="E164" s="142"/>
      <c r="F164" s="143"/>
      <c r="G164" s="142"/>
      <c r="H164" s="142"/>
      <c r="I164" s="142"/>
      <c r="J164" s="236"/>
      <c r="K164" s="1"/>
      <c r="L164" s="1"/>
      <c r="M164" s="1"/>
      <c r="N164" s="1"/>
      <c r="O164" s="1"/>
      <c r="P164" s="1"/>
      <c r="Q164" s="1"/>
      <c r="R164" s="1"/>
      <c r="S164" s="1"/>
      <c r="T164" s="1"/>
      <c r="U164" s="1"/>
      <c r="V164" s="1"/>
    </row>
    <row r="165" ht="12.0" customHeight="1">
      <c r="A165" s="1"/>
      <c r="B165" s="116" t="s">
        <v>294</v>
      </c>
      <c r="C165" s="237">
        <v>200.0</v>
      </c>
      <c r="D165" s="173">
        <f>ROUNDUP(((C165/C30)/2),0)</f>
        <v>200</v>
      </c>
      <c r="E165" s="154" t="str">
        <f>DEC2HEX(((D165)*2^16),8)</f>
        <v>00C80000</v>
      </c>
      <c r="F165" s="155" t="s">
        <v>295</v>
      </c>
      <c r="G165" s="156" t="s">
        <v>296</v>
      </c>
      <c r="H165" s="156" t="str">
        <f>"0x"&amp;DEC2HEX((HEX2DEC(C35)+324), 8)</f>
        <v>0x3D400144</v>
      </c>
      <c r="I165" s="157" t="str">
        <f>"0x"&amp;DEC2HEX((HEX2DEC(E165)+HEX2DEC(E166)), 8)</f>
        <v>0x00C80064</v>
      </c>
      <c r="J165" s="236"/>
      <c r="K165" s="1"/>
      <c r="L165" s="1"/>
      <c r="M165" s="1"/>
      <c r="N165" s="1"/>
      <c r="O165" s="1"/>
      <c r="P165" s="1"/>
      <c r="Q165" s="1"/>
      <c r="R165" s="1"/>
      <c r="S165" s="1"/>
      <c r="T165" s="1"/>
      <c r="U165" s="1"/>
      <c r="V165" s="1"/>
    </row>
    <row r="166" ht="12.0" customHeight="1">
      <c r="A166" s="1"/>
      <c r="B166" s="135" t="s">
        <v>297</v>
      </c>
      <c r="C166" s="238">
        <v>100.0</v>
      </c>
      <c r="D166" s="183">
        <f>ROUNDUP(((C166/C30)/2),0)</f>
        <v>100</v>
      </c>
      <c r="E166" s="138" t="str">
        <f>DEC2HEX(((D166)*2^0),8)</f>
        <v>00000064</v>
      </c>
      <c r="F166" s="139" t="s">
        <v>298</v>
      </c>
      <c r="G166" s="140"/>
      <c r="H166" s="140"/>
      <c r="I166" s="50"/>
      <c r="J166" s="220"/>
      <c r="K166" s="1"/>
      <c r="L166" s="1"/>
      <c r="M166" s="1"/>
      <c r="N166" s="1"/>
      <c r="O166" s="1"/>
      <c r="P166" s="1"/>
      <c r="Q166" s="1"/>
      <c r="R166" s="1"/>
      <c r="S166" s="1"/>
      <c r="T166" s="1"/>
      <c r="U166" s="1"/>
      <c r="V166" s="1"/>
    </row>
    <row r="167" ht="12.0" customHeight="1">
      <c r="A167" s="1"/>
      <c r="B167" s="109"/>
      <c r="C167" s="166"/>
      <c r="D167" s="166"/>
      <c r="E167" s="142"/>
      <c r="F167" s="143"/>
      <c r="G167" s="142"/>
      <c r="H167" s="142"/>
      <c r="I167" s="142"/>
      <c r="J167" s="1"/>
      <c r="K167" s="1"/>
      <c r="L167" s="1"/>
      <c r="M167" s="1"/>
      <c r="N167" s="1"/>
      <c r="O167" s="1"/>
      <c r="P167" s="1"/>
      <c r="Q167" s="1"/>
      <c r="R167" s="1"/>
      <c r="S167" s="1"/>
      <c r="T167" s="1"/>
      <c r="U167" s="1"/>
      <c r="V167" s="1"/>
    </row>
    <row r="168" ht="91.5" customHeight="1">
      <c r="A168" s="1"/>
      <c r="B168" s="116" t="s">
        <v>299</v>
      </c>
      <c r="C168" s="119" t="s">
        <v>91</v>
      </c>
      <c r="D168" s="119">
        <v>0.0</v>
      </c>
      <c r="E168" s="154" t="str">
        <f>DEC2HEX(((D168)*2^31),8)</f>
        <v>00000000</v>
      </c>
      <c r="F168" s="155" t="s">
        <v>300</v>
      </c>
      <c r="G168" s="156" t="s">
        <v>301</v>
      </c>
      <c r="H168" s="156" t="str">
        <f>"0x"&amp;DEC2HEX((HEX2DEC(C35)+384), 8)</f>
        <v>0x3D400180</v>
      </c>
      <c r="I168" s="157" t="str">
        <f>"0x"&amp;DEC2HEX((HEX2DEC(E168)+HEX2DEC(E169)+HEX2DEC(E170)+HEX2DEC(E172)+HEX2DEC(E173)), 8)</f>
        <v>0x03E8001E</v>
      </c>
      <c r="J168" s="1"/>
      <c r="K168" s="1"/>
      <c r="L168" s="1"/>
      <c r="M168" s="1"/>
      <c r="N168" s="1"/>
      <c r="O168" s="1"/>
      <c r="P168" s="1"/>
      <c r="Q168" s="1"/>
      <c r="R168" s="1"/>
      <c r="S168" s="1"/>
      <c r="T168" s="1"/>
      <c r="U168" s="1"/>
      <c r="V168" s="1"/>
    </row>
    <row r="169" ht="54.75" customHeight="1">
      <c r="A169" s="1"/>
      <c r="B169" s="128" t="s">
        <v>302</v>
      </c>
      <c r="C169" s="132" t="s">
        <v>91</v>
      </c>
      <c r="D169" s="132">
        <v>0.0</v>
      </c>
      <c r="E169" s="130" t="str">
        <f>DEC2HEX(((D169)*2^30),8)</f>
        <v>00000000</v>
      </c>
      <c r="F169" s="131" t="s">
        <v>303</v>
      </c>
      <c r="G169" s="60"/>
      <c r="H169" s="60"/>
      <c r="I169" s="164"/>
      <c r="J169" s="1"/>
      <c r="K169" s="1"/>
      <c r="L169" s="1"/>
      <c r="M169" s="1"/>
      <c r="N169" s="1"/>
      <c r="O169" s="1"/>
      <c r="P169" s="1"/>
      <c r="Q169" s="1"/>
      <c r="R169" s="1"/>
      <c r="S169" s="1"/>
      <c r="T169" s="1"/>
      <c r="U169" s="1"/>
      <c r="V169" s="1"/>
    </row>
    <row r="170" ht="93.0" customHeight="1">
      <c r="A170" s="1"/>
      <c r="B170" s="128" t="s">
        <v>304</v>
      </c>
      <c r="C170" s="132" t="s">
        <v>91</v>
      </c>
      <c r="D170" s="133">
        <f>IF(K27="DISABLED", 0, 1)</f>
        <v>0</v>
      </c>
      <c r="E170" s="130" t="str">
        <f>DEC2HEX(((D170)*2^29),8)</f>
        <v>00000000</v>
      </c>
      <c r="F170" s="163" t="s">
        <v>305</v>
      </c>
      <c r="G170" s="60"/>
      <c r="H170" s="60"/>
      <c r="I170" s="164"/>
      <c r="J170" s="1"/>
      <c r="K170" s="1"/>
      <c r="L170" s="1"/>
      <c r="M170" s="1"/>
      <c r="N170" s="1"/>
      <c r="O170" s="1"/>
      <c r="P170" s="1"/>
      <c r="Q170" s="1"/>
      <c r="R170" s="1"/>
      <c r="S170" s="1"/>
      <c r="T170" s="1"/>
      <c r="U170" s="1"/>
      <c r="V170" s="1"/>
    </row>
    <row r="171" ht="93.0" customHeight="1">
      <c r="A171" s="1"/>
      <c r="B171" s="162" t="s">
        <v>306</v>
      </c>
      <c r="C171" s="175" t="s">
        <v>91</v>
      </c>
      <c r="D171" s="230">
        <v>0.0</v>
      </c>
      <c r="E171" s="130" t="str">
        <f>DEC2HEX(((D171)*2^28),8)</f>
        <v>00000000</v>
      </c>
      <c r="F171" s="163" t="s">
        <v>307</v>
      </c>
      <c r="G171" s="60"/>
      <c r="H171" s="60"/>
      <c r="I171" s="164"/>
      <c r="J171" s="1"/>
      <c r="K171" s="1"/>
      <c r="L171" s="1"/>
      <c r="M171" s="1"/>
      <c r="N171" s="1"/>
      <c r="O171" s="1"/>
      <c r="P171" s="1"/>
      <c r="Q171" s="1"/>
      <c r="R171" s="1"/>
      <c r="S171" s="1"/>
      <c r="T171" s="1"/>
      <c r="U171" s="1"/>
      <c r="V171" s="1"/>
    </row>
    <row r="172" ht="12.0" customHeight="1">
      <c r="A172" s="1"/>
      <c r="B172" s="162" t="s">
        <v>308</v>
      </c>
      <c r="C172" s="132">
        <v>1000.0</v>
      </c>
      <c r="D172" s="129">
        <f>ROUNDUP(((C172/C30)/2),0)</f>
        <v>1000</v>
      </c>
      <c r="E172" s="130" t="str">
        <f>DEC2HEX(((D172)*2^16),8)</f>
        <v>03E80000</v>
      </c>
      <c r="F172" s="163" t="s">
        <v>309</v>
      </c>
      <c r="G172" s="60"/>
      <c r="H172" s="60"/>
      <c r="I172" s="164"/>
      <c r="J172" s="1"/>
      <c r="K172" s="1"/>
      <c r="L172" s="1"/>
      <c r="M172" s="1"/>
      <c r="N172" s="1"/>
      <c r="O172" s="1"/>
      <c r="P172" s="1"/>
      <c r="Q172" s="1"/>
      <c r="R172" s="1"/>
      <c r="S172" s="1"/>
      <c r="T172" s="1"/>
      <c r="U172" s="1"/>
      <c r="V172" s="1"/>
    </row>
    <row r="173" ht="12.0" customHeight="1">
      <c r="A173" s="1"/>
      <c r="B173" s="135" t="s">
        <v>310</v>
      </c>
      <c r="C173" s="171">
        <f>MAX(30/C30,8)</f>
        <v>60</v>
      </c>
      <c r="D173" s="183">
        <f>ROUNDUP(((C173)/2),0)</f>
        <v>30</v>
      </c>
      <c r="E173" s="138" t="str">
        <f>DEC2HEX(((D173)*2^0),8)</f>
        <v>0000001E</v>
      </c>
      <c r="F173" s="139" t="s">
        <v>311</v>
      </c>
      <c r="G173" s="140"/>
      <c r="H173" s="140"/>
      <c r="I173" s="50"/>
      <c r="J173" s="1"/>
      <c r="K173" s="1"/>
      <c r="L173" s="1"/>
      <c r="M173" s="1"/>
      <c r="N173" s="1"/>
      <c r="O173" s="1"/>
      <c r="P173" s="1"/>
      <c r="Q173" s="1"/>
      <c r="R173" s="1"/>
      <c r="S173" s="1"/>
      <c r="T173" s="1"/>
      <c r="U173" s="1"/>
      <c r="V173" s="1"/>
    </row>
    <row r="174" ht="7.5" customHeight="1">
      <c r="A174" s="1"/>
      <c r="B174" s="159"/>
      <c r="C174" s="159"/>
      <c r="D174" s="159"/>
      <c r="E174" s="160"/>
      <c r="F174" s="143"/>
      <c r="G174" s="142"/>
      <c r="H174" s="142"/>
      <c r="I174" s="142"/>
      <c r="J174" s="1"/>
      <c r="K174" s="1"/>
      <c r="L174" s="1"/>
      <c r="M174" s="1"/>
      <c r="N174" s="1"/>
      <c r="O174" s="1"/>
      <c r="P174" s="1"/>
      <c r="Q174" s="1"/>
      <c r="R174" s="1"/>
      <c r="S174" s="1"/>
      <c r="T174" s="1"/>
      <c r="U174" s="1"/>
      <c r="V174" s="1"/>
    </row>
    <row r="175" ht="18.75" customHeight="1">
      <c r="A175" s="1"/>
      <c r="B175" s="152" t="s">
        <v>312</v>
      </c>
      <c r="C175" s="153"/>
      <c r="D175" s="153"/>
      <c r="E175" s="153"/>
      <c r="F175" s="153"/>
      <c r="G175" s="153"/>
      <c r="H175" s="153"/>
      <c r="I175" s="73"/>
      <c r="J175" s="1"/>
      <c r="K175" s="1"/>
      <c r="L175" s="1"/>
      <c r="M175" s="1"/>
      <c r="N175" s="1"/>
      <c r="O175" s="1"/>
      <c r="P175" s="1"/>
      <c r="Q175" s="1"/>
      <c r="R175" s="1"/>
      <c r="S175" s="1"/>
      <c r="T175" s="1"/>
      <c r="U175" s="1"/>
      <c r="V175" s="1"/>
    </row>
    <row r="176" ht="12.0" customHeight="1">
      <c r="A176" s="1"/>
      <c r="B176" s="116" t="s">
        <v>313</v>
      </c>
      <c r="C176" s="168">
        <f>MAX(50/C30, 3)</f>
        <v>100</v>
      </c>
      <c r="D176" s="168">
        <f>ROUNDUP(((C176)/2),0)</f>
        <v>50</v>
      </c>
      <c r="E176" s="154" t="str">
        <f>DEC2HEX(((D176)*2^20),8)</f>
        <v>03200000</v>
      </c>
      <c r="F176" s="155" t="s">
        <v>314</v>
      </c>
      <c r="G176" s="156" t="s">
        <v>315</v>
      </c>
      <c r="H176" s="156" t="str">
        <f>"0x"&amp;DEC2HEX((HEX2DEC(C35)+388), 8)</f>
        <v>0x3D400184</v>
      </c>
      <c r="I176" s="157" t="str">
        <f>"0x"&amp;DEC2HEX((HEX2DEC(E176)+HEX2DEC(E177)), 8)</f>
        <v>0x03207A12</v>
      </c>
      <c r="J176" s="1"/>
      <c r="K176" s="1"/>
      <c r="L176" s="1"/>
      <c r="M176" s="1"/>
      <c r="N176" s="1"/>
      <c r="O176" s="1"/>
      <c r="P176" s="1"/>
      <c r="Q176" s="1"/>
      <c r="R176" s="1"/>
      <c r="S176" s="1"/>
      <c r="T176" s="1"/>
      <c r="U176" s="1"/>
      <c r="V176" s="1"/>
    </row>
    <row r="177" ht="12.0" customHeight="1">
      <c r="A177" s="1"/>
      <c r="B177" s="135" t="s">
        <v>316</v>
      </c>
      <c r="C177" s="136">
        <v>32.0</v>
      </c>
      <c r="D177" s="136">
        <f>ROUNDUP((C177*1000000)/2/C30/1024, 0)</f>
        <v>31250</v>
      </c>
      <c r="E177" s="138" t="str">
        <f>DEC2HEX(((D177)*2^0),8)</f>
        <v>00007A12</v>
      </c>
      <c r="F177" s="139" t="s">
        <v>317</v>
      </c>
      <c r="G177" s="140"/>
      <c r="H177" s="140"/>
      <c r="I177" s="50"/>
      <c r="J177" s="1"/>
      <c r="K177" s="1"/>
      <c r="L177" s="1"/>
      <c r="M177" s="1"/>
      <c r="N177" s="1"/>
      <c r="O177" s="1"/>
      <c r="P177" s="1"/>
      <c r="Q177" s="1"/>
      <c r="R177" s="1"/>
      <c r="S177" s="1"/>
      <c r="T177" s="1"/>
      <c r="U177" s="1"/>
      <c r="V177" s="1"/>
    </row>
    <row r="178" ht="11.25" customHeight="1">
      <c r="A178" s="1"/>
      <c r="B178" s="109"/>
      <c r="C178" s="109"/>
      <c r="D178" s="109"/>
      <c r="E178" s="109"/>
      <c r="F178" s="235"/>
      <c r="G178" s="151"/>
      <c r="H178" s="142"/>
      <c r="I178" s="142"/>
      <c r="J178" s="142"/>
      <c r="K178" s="142"/>
      <c r="L178" s="134"/>
      <c r="M178" s="1"/>
      <c r="N178" s="1"/>
      <c r="O178" s="1"/>
      <c r="P178" s="1"/>
      <c r="Q178" s="1"/>
      <c r="R178" s="1"/>
      <c r="S178" s="1"/>
      <c r="T178" s="1"/>
      <c r="U178" s="1"/>
      <c r="V178" s="1"/>
      <c r="W178" s="1"/>
      <c r="X178" s="1"/>
    </row>
    <row r="179" ht="12.0" customHeight="1">
      <c r="A179" s="1"/>
      <c r="B179" s="116" t="s">
        <v>318</v>
      </c>
      <c r="C179" s="119" t="s">
        <v>91</v>
      </c>
      <c r="D179" s="239">
        <v>0.0</v>
      </c>
      <c r="E179" s="154" t="str">
        <f>DEC2HEX(((D179)*2^13),8)</f>
        <v>00000000</v>
      </c>
      <c r="F179" s="184" t="s">
        <v>319</v>
      </c>
      <c r="G179" s="156" t="s">
        <v>320</v>
      </c>
      <c r="H179" s="156" t="str">
        <f>"0x"&amp;DEC2HEX((HEX2DEC(C35)+32), 8)</f>
        <v>0x3D400020</v>
      </c>
      <c r="I179" s="157" t="str">
        <f>"0x"&amp;DEC2HEX((HEX2DEC(E179)+HEX2DEC(E180)+HEX2DEC(E181)+HEX2DEC(E182)+HEX2DEC(E183)+HEX2DEC(E184) ), 8)</f>
        <v>0x00001333</v>
      </c>
      <c r="J179" s="134"/>
      <c r="K179" s="1"/>
      <c r="L179" s="1"/>
      <c r="M179" s="1"/>
      <c r="N179" s="1"/>
      <c r="O179" s="1"/>
      <c r="P179" s="1"/>
      <c r="Q179" s="1"/>
      <c r="R179" s="1"/>
      <c r="S179" s="1"/>
      <c r="T179" s="1"/>
      <c r="U179" s="1"/>
      <c r="V179" s="1"/>
    </row>
    <row r="180" ht="12.0" customHeight="1">
      <c r="A180" s="1"/>
      <c r="B180" s="162" t="s">
        <v>321</v>
      </c>
      <c r="C180" s="240" t="s">
        <v>91</v>
      </c>
      <c r="D180" s="241">
        <v>1.0</v>
      </c>
      <c r="E180" s="181" t="str">
        <f>DEC2HEX(((D180)*2^12),8)</f>
        <v>00001000</v>
      </c>
      <c r="F180" s="242" t="s">
        <v>322</v>
      </c>
      <c r="G180" s="60"/>
      <c r="H180" s="60"/>
      <c r="I180" s="164"/>
      <c r="J180" s="134"/>
      <c r="K180" s="1"/>
      <c r="L180" s="1"/>
      <c r="M180" s="1"/>
      <c r="N180" s="1"/>
      <c r="O180" s="1"/>
      <c r="P180" s="1"/>
      <c r="Q180" s="1"/>
      <c r="R180" s="1"/>
      <c r="S180" s="1"/>
      <c r="T180" s="1"/>
      <c r="U180" s="1"/>
      <c r="V180" s="1"/>
    </row>
    <row r="181" ht="12.0" customHeight="1">
      <c r="A181" s="1"/>
      <c r="B181" s="128" t="s">
        <v>323</v>
      </c>
      <c r="C181" s="132">
        <v>3.75</v>
      </c>
      <c r="D181" s="243">
        <f>ROUNDUP(C181/C30/2, 0) - 1</f>
        <v>3</v>
      </c>
      <c r="E181" s="130" t="str">
        <f>DEC2HEX(((D181)*2^8),8)</f>
        <v>00000300</v>
      </c>
      <c r="F181" s="187" t="s">
        <v>324</v>
      </c>
      <c r="G181" s="60"/>
      <c r="H181" s="60"/>
      <c r="I181" s="164"/>
      <c r="J181" s="134"/>
      <c r="K181" s="1"/>
      <c r="L181" s="1"/>
      <c r="M181" s="1"/>
      <c r="N181" s="1"/>
      <c r="O181" s="1"/>
      <c r="P181" s="1"/>
      <c r="Q181" s="1"/>
      <c r="R181" s="1"/>
      <c r="S181" s="1"/>
      <c r="T181" s="1"/>
      <c r="U181" s="1"/>
      <c r="V181" s="1"/>
    </row>
    <row r="182" ht="12.0" customHeight="1">
      <c r="A182" s="1"/>
      <c r="B182" s="128" t="s">
        <v>325</v>
      </c>
      <c r="C182" s="175" t="s">
        <v>91</v>
      </c>
      <c r="D182" s="244">
        <f>BoardDataBusConfig!AA10</f>
        <v>3</v>
      </c>
      <c r="E182" s="130" t="str">
        <f>DEC2HEX(((D182)*2^4),8)</f>
        <v>00000030</v>
      </c>
      <c r="F182" s="187" t="s">
        <v>326</v>
      </c>
      <c r="G182" s="60"/>
      <c r="H182" s="60"/>
      <c r="I182" s="164"/>
      <c r="J182" s="134"/>
      <c r="K182" s="1"/>
      <c r="L182" s="1"/>
      <c r="M182" s="1"/>
      <c r="N182" s="1"/>
      <c r="O182" s="1"/>
      <c r="P182" s="1"/>
      <c r="Q182" s="1"/>
      <c r="R182" s="1"/>
      <c r="S182" s="1"/>
      <c r="T182" s="1"/>
      <c r="U182" s="1"/>
      <c r="V182" s="1"/>
    </row>
    <row r="183" ht="12.0" customHeight="1">
      <c r="A183" s="1"/>
      <c r="B183" s="128" t="s">
        <v>327</v>
      </c>
      <c r="C183" s="132">
        <v>1.875</v>
      </c>
      <c r="D183" s="245">
        <f>ROUNDUP(C183/C30/2, 0) - 1</f>
        <v>1</v>
      </c>
      <c r="E183" s="130" t="str">
        <f>DEC2HEX(((D183)*2^1),8)</f>
        <v>00000002</v>
      </c>
      <c r="F183" s="187" t="s">
        <v>328</v>
      </c>
      <c r="G183" s="60"/>
      <c r="H183" s="60"/>
      <c r="I183" s="164"/>
      <c r="J183" s="134"/>
      <c r="K183" s="1"/>
      <c r="L183" s="1"/>
      <c r="M183" s="1"/>
      <c r="N183" s="1"/>
      <c r="O183" s="1"/>
      <c r="P183" s="1"/>
      <c r="Q183" s="1"/>
      <c r="R183" s="1"/>
      <c r="S183" s="1"/>
      <c r="T183" s="1"/>
      <c r="U183" s="1"/>
      <c r="V183" s="1"/>
    </row>
    <row r="184" ht="12.0" customHeight="1">
      <c r="A184" s="1"/>
      <c r="B184" s="135" t="s">
        <v>329</v>
      </c>
      <c r="C184" s="178" t="s">
        <v>91</v>
      </c>
      <c r="D184" s="171">
        <f>IF(G40 = "Automatic", 1, 0)</f>
        <v>1</v>
      </c>
      <c r="E184" s="138" t="str">
        <f>DEC2HEX(((D184)*2^0),8)</f>
        <v>00000001</v>
      </c>
      <c r="F184" s="190" t="s">
        <v>330</v>
      </c>
      <c r="G184" s="140"/>
      <c r="H184" s="140"/>
      <c r="I184" s="50"/>
      <c r="J184" s="134"/>
      <c r="K184" s="1"/>
      <c r="L184" s="1"/>
      <c r="M184" s="1"/>
      <c r="N184" s="1"/>
      <c r="O184" s="1"/>
      <c r="P184" s="1"/>
      <c r="Q184" s="1"/>
      <c r="R184" s="1"/>
      <c r="S184" s="1"/>
      <c r="T184" s="1"/>
      <c r="U184" s="1"/>
      <c r="V184" s="1"/>
    </row>
    <row r="185" ht="11.25" customHeight="1">
      <c r="A185" s="1"/>
      <c r="B185" s="109"/>
      <c r="C185" s="109"/>
      <c r="D185" s="109"/>
      <c r="E185" s="109"/>
      <c r="F185" s="235"/>
      <c r="G185" s="151"/>
      <c r="H185" s="142"/>
      <c r="I185" s="142"/>
      <c r="J185" s="142"/>
      <c r="K185" s="142"/>
      <c r="L185" s="134"/>
      <c r="M185" s="1"/>
      <c r="N185" s="1"/>
      <c r="O185" s="1"/>
      <c r="P185" s="1"/>
      <c r="Q185" s="1"/>
      <c r="R185" s="1"/>
      <c r="S185" s="1"/>
      <c r="T185" s="1"/>
      <c r="U185" s="1"/>
      <c r="V185" s="1"/>
      <c r="W185" s="1"/>
      <c r="X185" s="1"/>
    </row>
    <row r="186" ht="12.0" customHeight="1">
      <c r="A186" s="1"/>
      <c r="B186" s="144" t="s">
        <v>331</v>
      </c>
      <c r="C186" s="149">
        <v>32.0</v>
      </c>
      <c r="D186" s="149">
        <f>ROUNDUP(C186*1000000/C30/2, 0 )</f>
        <v>32000000</v>
      </c>
      <c r="E186" s="147" t="str">
        <f>DEC2HEX(((D186)*2^0),8)</f>
        <v>01E84800</v>
      </c>
      <c r="F186" s="246" t="s">
        <v>332</v>
      </c>
      <c r="G186" s="147" t="s">
        <v>333</v>
      </c>
      <c r="H186" s="147" t="str">
        <f>"0x"&amp;DEC2HEX((HEX2DEC(C35)+36), 8)</f>
        <v>0x3D400024</v>
      </c>
      <c r="I186" s="234" t="str">
        <f>"0x"&amp;DEC2HEX(HEX2DEC(E186), 8)</f>
        <v>0x01E84800</v>
      </c>
      <c r="J186" s="134"/>
      <c r="K186" s="1"/>
      <c r="L186" s="1"/>
      <c r="M186" s="1"/>
      <c r="N186" s="1"/>
      <c r="O186" s="1"/>
      <c r="P186" s="1"/>
      <c r="Q186" s="1"/>
      <c r="R186" s="1"/>
      <c r="S186" s="1"/>
      <c r="T186" s="1"/>
      <c r="U186" s="1"/>
      <c r="V186" s="1"/>
    </row>
    <row r="187" ht="11.25" customHeight="1">
      <c r="A187" s="1"/>
      <c r="B187" s="109"/>
      <c r="C187" s="109"/>
      <c r="D187" s="109"/>
      <c r="E187" s="109"/>
      <c r="F187" s="235"/>
      <c r="G187" s="151"/>
      <c r="H187" s="142"/>
      <c r="I187" s="142"/>
      <c r="J187" s="142"/>
      <c r="K187" s="142"/>
      <c r="L187" s="134"/>
      <c r="M187" s="1"/>
      <c r="N187" s="1"/>
      <c r="O187" s="1"/>
      <c r="P187" s="1"/>
      <c r="Q187" s="1"/>
      <c r="R187" s="1"/>
      <c r="S187" s="1"/>
      <c r="T187" s="1"/>
      <c r="U187" s="1"/>
      <c r="V187" s="1"/>
      <c r="W187" s="1"/>
      <c r="X187" s="1"/>
    </row>
    <row r="188" ht="12.0" customHeight="1">
      <c r="A188" s="1"/>
      <c r="B188" s="152" t="s">
        <v>334</v>
      </c>
      <c r="C188" s="153"/>
      <c r="D188" s="153"/>
      <c r="E188" s="153"/>
      <c r="F188" s="153"/>
      <c r="G188" s="153"/>
      <c r="H188" s="153"/>
      <c r="I188" s="73"/>
      <c r="J188" s="1"/>
      <c r="K188" s="1"/>
      <c r="L188" s="1"/>
      <c r="M188" s="1"/>
      <c r="N188" s="1"/>
      <c r="O188" s="1"/>
      <c r="P188" s="1"/>
      <c r="Q188" s="1"/>
      <c r="R188" s="1"/>
      <c r="S188" s="1"/>
      <c r="T188" s="1"/>
      <c r="U188" s="1"/>
      <c r="V188" s="1"/>
    </row>
    <row r="189" ht="108.75" customHeight="1">
      <c r="A189" s="1"/>
      <c r="B189" s="116" t="s">
        <v>335</v>
      </c>
      <c r="C189" s="119" t="s">
        <v>91</v>
      </c>
      <c r="D189" s="247">
        <v>0.0</v>
      </c>
      <c r="E189" s="154" t="str">
        <f>DEC2HEX(((D189)*2^12),8)</f>
        <v>00000000</v>
      </c>
      <c r="F189" s="155" t="s">
        <v>336</v>
      </c>
      <c r="G189" s="156" t="s">
        <v>337</v>
      </c>
      <c r="H189" s="156" t="str">
        <f>"0x"&amp;DEC2HEX((HEX2DEC(C35)+580), 8)</f>
        <v>0x3D400244</v>
      </c>
      <c r="I189" s="157" t="str">
        <f>"0x"&amp;DEC2HEX((HEX2DEC(E189)+HEX2DEC(E190)+HEX2DEC(E191)+HEX2DEC(E192)), 8)</f>
        <v>0x00000000</v>
      </c>
      <c r="J189" s="248"/>
      <c r="K189" s="194"/>
      <c r="L189" s="1"/>
      <c r="M189" s="1"/>
      <c r="N189" s="1"/>
      <c r="O189" s="1"/>
      <c r="P189" s="1"/>
      <c r="Q189" s="1"/>
      <c r="R189" s="1"/>
      <c r="S189" s="1"/>
      <c r="T189" s="1"/>
      <c r="U189" s="1"/>
      <c r="V189" s="1"/>
    </row>
    <row r="190" ht="99.75" customHeight="1">
      <c r="A190" s="1"/>
      <c r="B190" s="128" t="s">
        <v>338</v>
      </c>
      <c r="C190" s="132" t="s">
        <v>91</v>
      </c>
      <c r="D190" s="230">
        <v>0.0</v>
      </c>
      <c r="E190" s="130" t="str">
        <f>DEC2HEX(((D190)*2^8),8)</f>
        <v>00000000</v>
      </c>
      <c r="F190" s="131" t="s">
        <v>339</v>
      </c>
      <c r="G190" s="60"/>
      <c r="H190" s="60"/>
      <c r="I190" s="164"/>
      <c r="J190" s="249"/>
      <c r="K190" s="194"/>
      <c r="L190" s="1"/>
      <c r="M190" s="1"/>
      <c r="N190" s="1"/>
      <c r="O190" s="1"/>
      <c r="P190" s="1"/>
      <c r="Q190" s="1"/>
      <c r="R190" s="1"/>
      <c r="S190" s="1"/>
      <c r="T190" s="1"/>
      <c r="U190" s="1"/>
      <c r="V190" s="1"/>
    </row>
    <row r="191" ht="102.0" customHeight="1">
      <c r="A191" s="1"/>
      <c r="B191" s="128" t="s">
        <v>340</v>
      </c>
      <c r="C191" s="132" t="s">
        <v>91</v>
      </c>
      <c r="D191" s="230">
        <v>0.0</v>
      </c>
      <c r="E191" s="130" t="str">
        <f>DEC2HEX(((D191)*2^4),8)</f>
        <v>00000000</v>
      </c>
      <c r="F191" s="131" t="s">
        <v>341</v>
      </c>
      <c r="G191" s="60"/>
      <c r="H191" s="60"/>
      <c r="I191" s="164"/>
      <c r="J191" s="249"/>
      <c r="K191" s="194"/>
      <c r="L191" s="1"/>
      <c r="M191" s="1"/>
      <c r="N191" s="1"/>
      <c r="O191" s="1"/>
      <c r="P191" s="1"/>
      <c r="Q191" s="1"/>
      <c r="R191" s="1"/>
      <c r="S191" s="1"/>
      <c r="T191" s="1"/>
      <c r="U191" s="1"/>
      <c r="V191" s="1"/>
    </row>
    <row r="192" ht="102.75" customHeight="1">
      <c r="A192" s="1"/>
      <c r="B192" s="135" t="s">
        <v>342</v>
      </c>
      <c r="C192" s="136" t="s">
        <v>91</v>
      </c>
      <c r="D192" s="231">
        <v>0.0</v>
      </c>
      <c r="E192" s="138" t="str">
        <f>DEC2HEX(((D192)*2^0),8)</f>
        <v>00000000</v>
      </c>
      <c r="F192" s="139" t="s">
        <v>343</v>
      </c>
      <c r="G192" s="140"/>
      <c r="H192" s="140"/>
      <c r="I192" s="50"/>
      <c r="J192" s="250"/>
      <c r="K192" s="194"/>
      <c r="L192" s="1"/>
      <c r="M192" s="1"/>
      <c r="N192" s="1"/>
      <c r="O192" s="1"/>
      <c r="P192" s="1"/>
      <c r="Q192" s="1"/>
      <c r="R192" s="1"/>
      <c r="S192" s="1"/>
      <c r="T192" s="1"/>
      <c r="U192" s="1"/>
      <c r="V192" s="1"/>
    </row>
    <row r="193" ht="12.0" customHeight="1">
      <c r="A193" s="1"/>
      <c r="B193" s="109"/>
      <c r="C193" s="109"/>
      <c r="D193" s="109"/>
      <c r="E193" s="142"/>
      <c r="F193" s="151"/>
      <c r="G193" s="142"/>
      <c r="H193" s="142"/>
      <c r="I193" s="142"/>
      <c r="J193" s="134"/>
      <c r="K193" s="1"/>
      <c r="L193" s="1"/>
      <c r="M193" s="1"/>
      <c r="N193" s="1"/>
      <c r="O193" s="1"/>
      <c r="P193" s="1"/>
      <c r="Q193" s="1"/>
      <c r="R193" s="1"/>
      <c r="S193" s="1"/>
      <c r="T193" s="1"/>
      <c r="U193" s="1"/>
      <c r="V193" s="1"/>
    </row>
    <row r="194" ht="12.0" customHeight="1">
      <c r="A194" s="1"/>
      <c r="B194" s="116" t="s">
        <v>344</v>
      </c>
      <c r="C194" s="117" t="s">
        <v>91</v>
      </c>
      <c r="D194" s="119">
        <v>0.0</v>
      </c>
      <c r="E194" s="154" t="str">
        <f>DEC2HEX(((D194)*2^8),8)</f>
        <v>00000000</v>
      </c>
      <c r="F194" s="184" t="s">
        <v>345</v>
      </c>
      <c r="G194" s="156" t="s">
        <v>346</v>
      </c>
      <c r="H194" s="156" t="str">
        <f>"0x"&amp;DEC2HEX((HEX2DEC(C35)+48), 8)</f>
        <v>0x3D400030</v>
      </c>
      <c r="I194" s="157" t="str">
        <f>"0x"&amp;DEC2HEX((HEX2DEC(E194)+HEX2DEC(E195)+HEX2DEC(E196)+HEX2DEC(E197)+HEX2DEC(E198)+HEX2DEC(E199)+HEX2DEC(E200)+HEX2DEC(E201)+HEX2DEC(E202)),8)</f>
        <v>0x000000A8</v>
      </c>
      <c r="J194" s="134"/>
      <c r="K194" s="1"/>
      <c r="L194" s="1"/>
      <c r="M194" s="1"/>
      <c r="N194" s="1"/>
      <c r="O194" s="1"/>
      <c r="P194" s="1"/>
      <c r="Q194" s="1"/>
      <c r="R194" s="1"/>
      <c r="S194" s="1"/>
      <c r="T194" s="1"/>
      <c r="U194" s="1"/>
      <c r="V194" s="1"/>
    </row>
    <row r="195" ht="12.0" customHeight="1">
      <c r="A195" s="1"/>
      <c r="B195" s="128" t="s">
        <v>347</v>
      </c>
      <c r="C195" s="175" t="s">
        <v>91</v>
      </c>
      <c r="D195" s="132">
        <v>1.0</v>
      </c>
      <c r="E195" s="130" t="str">
        <f>DEC2HEX(((D195)*2^7),8)</f>
        <v>00000080</v>
      </c>
      <c r="F195" s="187" t="s">
        <v>348</v>
      </c>
      <c r="G195" s="60"/>
      <c r="H195" s="60"/>
      <c r="I195" s="164"/>
      <c r="J195" s="134"/>
      <c r="K195" s="1"/>
      <c r="L195" s="1"/>
      <c r="M195" s="1"/>
      <c r="N195" s="1"/>
      <c r="O195" s="1"/>
      <c r="P195" s="1"/>
      <c r="Q195" s="1"/>
      <c r="R195" s="1"/>
      <c r="S195" s="1"/>
      <c r="T195" s="1"/>
      <c r="U195" s="1"/>
      <c r="V195" s="1"/>
    </row>
    <row r="196" ht="12.0" customHeight="1">
      <c r="A196" s="1"/>
      <c r="B196" s="128" t="s">
        <v>349</v>
      </c>
      <c r="C196" s="175" t="s">
        <v>91</v>
      </c>
      <c r="D196" s="132">
        <v>0.0</v>
      </c>
      <c r="E196" s="130" t="str">
        <f>DEC2HEX(((D196)*2^6),8)</f>
        <v>00000000</v>
      </c>
      <c r="F196" s="187" t="s">
        <v>350</v>
      </c>
      <c r="G196" s="60"/>
      <c r="H196" s="60"/>
      <c r="I196" s="164"/>
      <c r="J196" s="134"/>
      <c r="K196" s="1"/>
      <c r="L196" s="1"/>
      <c r="M196" s="1"/>
      <c r="N196" s="1"/>
      <c r="O196" s="1"/>
      <c r="P196" s="1"/>
      <c r="Q196" s="1"/>
      <c r="R196" s="1"/>
      <c r="S196" s="1"/>
      <c r="T196" s="1"/>
      <c r="U196" s="1"/>
      <c r="V196" s="1"/>
    </row>
    <row r="197" ht="12.0" customHeight="1">
      <c r="A197" s="1"/>
      <c r="B197" s="128" t="s">
        <v>351</v>
      </c>
      <c r="C197" s="175" t="s">
        <v>91</v>
      </c>
      <c r="D197" s="132">
        <v>1.0</v>
      </c>
      <c r="E197" s="130" t="str">
        <f>DEC2HEX(((D197)*2^5),8)</f>
        <v>00000020</v>
      </c>
      <c r="F197" s="187" t="s">
        <v>352</v>
      </c>
      <c r="G197" s="60"/>
      <c r="H197" s="60"/>
      <c r="I197" s="164"/>
      <c r="J197" s="134"/>
      <c r="K197" s="1"/>
      <c r="L197" s="1"/>
      <c r="M197" s="1"/>
      <c r="N197" s="1"/>
      <c r="O197" s="1"/>
      <c r="P197" s="1"/>
      <c r="Q197" s="1"/>
      <c r="R197" s="1"/>
      <c r="S197" s="1"/>
      <c r="T197" s="1"/>
      <c r="U197" s="1"/>
      <c r="V197" s="1"/>
    </row>
    <row r="198" ht="12.0" customHeight="1">
      <c r="A198" s="1"/>
      <c r="B198" s="128" t="s">
        <v>353</v>
      </c>
      <c r="C198" s="175" t="s">
        <v>91</v>
      </c>
      <c r="D198" s="132">
        <v>0.0</v>
      </c>
      <c r="E198" s="130" t="str">
        <f>DEC2HEX(((D198)*2^4),8)</f>
        <v>00000000</v>
      </c>
      <c r="F198" s="187" t="s">
        <v>354</v>
      </c>
      <c r="G198" s="60"/>
      <c r="H198" s="60"/>
      <c r="I198" s="164"/>
      <c r="J198" s="134"/>
      <c r="K198" s="1"/>
      <c r="L198" s="1"/>
      <c r="M198" s="1"/>
      <c r="N198" s="1"/>
      <c r="O198" s="1"/>
      <c r="P198" s="1"/>
      <c r="Q198" s="1"/>
      <c r="R198" s="1"/>
      <c r="S198" s="1"/>
      <c r="T198" s="1"/>
      <c r="U198" s="1"/>
      <c r="V198" s="1"/>
    </row>
    <row r="199" ht="12.0" customHeight="1">
      <c r="A199" s="1"/>
      <c r="B199" s="128" t="s">
        <v>355</v>
      </c>
      <c r="C199" s="175" t="s">
        <v>91</v>
      </c>
      <c r="D199" s="132">
        <v>1.0</v>
      </c>
      <c r="E199" s="130" t="str">
        <f>DEC2HEX(((D199)*2^3),8)</f>
        <v>00000008</v>
      </c>
      <c r="F199" s="187" t="s">
        <v>356</v>
      </c>
      <c r="G199" s="60"/>
      <c r="H199" s="60"/>
      <c r="I199" s="164"/>
      <c r="J199" s="134"/>
      <c r="K199" s="1"/>
      <c r="L199" s="1"/>
      <c r="M199" s="1"/>
      <c r="N199" s="1"/>
      <c r="O199" s="1"/>
      <c r="P199" s="1"/>
      <c r="Q199" s="1"/>
      <c r="R199" s="1"/>
      <c r="S199" s="1"/>
      <c r="T199" s="1"/>
      <c r="U199" s="1"/>
      <c r="V199" s="1"/>
    </row>
    <row r="200" ht="12.0" customHeight="1">
      <c r="A200" s="1"/>
      <c r="B200" s="128" t="s">
        <v>357</v>
      </c>
      <c r="C200" s="175" t="s">
        <v>91</v>
      </c>
      <c r="D200" s="132">
        <v>0.0</v>
      </c>
      <c r="E200" s="130" t="str">
        <f>DEC2HEX(((D200)*2^2),8)</f>
        <v>00000000</v>
      </c>
      <c r="F200" s="187" t="s">
        <v>358</v>
      </c>
      <c r="G200" s="60"/>
      <c r="H200" s="60"/>
      <c r="I200" s="164"/>
      <c r="J200" s="134"/>
      <c r="K200" s="1"/>
      <c r="L200" s="1"/>
      <c r="M200" s="1"/>
      <c r="N200" s="1"/>
      <c r="O200" s="1"/>
      <c r="P200" s="1"/>
      <c r="Q200" s="1"/>
      <c r="R200" s="1"/>
      <c r="S200" s="1"/>
      <c r="T200" s="1"/>
      <c r="U200" s="1"/>
      <c r="V200" s="1"/>
    </row>
    <row r="201" ht="12.0" customHeight="1">
      <c r="A201" s="1"/>
      <c r="B201" s="128" t="s">
        <v>359</v>
      </c>
      <c r="C201" s="175" t="s">
        <v>91</v>
      </c>
      <c r="D201" s="132">
        <v>0.0</v>
      </c>
      <c r="E201" s="130" t="str">
        <f>DEC2HEX(((D201)*2^1),8)</f>
        <v>00000000</v>
      </c>
      <c r="F201" s="187" t="s">
        <v>360</v>
      </c>
      <c r="G201" s="60"/>
      <c r="H201" s="60"/>
      <c r="I201" s="164"/>
      <c r="J201" s="134"/>
      <c r="K201" s="1"/>
      <c r="L201" s="1"/>
      <c r="M201" s="1"/>
      <c r="N201" s="1"/>
      <c r="O201" s="1"/>
      <c r="P201" s="1"/>
      <c r="Q201" s="1"/>
      <c r="R201" s="1"/>
      <c r="S201" s="1"/>
      <c r="T201" s="1"/>
      <c r="U201" s="1"/>
      <c r="V201" s="1"/>
    </row>
    <row r="202" ht="12.0" customHeight="1">
      <c r="A202" s="1"/>
      <c r="B202" s="135" t="s">
        <v>361</v>
      </c>
      <c r="C202" s="178" t="s">
        <v>91</v>
      </c>
      <c r="D202" s="136">
        <v>0.0</v>
      </c>
      <c r="E202" s="138" t="str">
        <f>DEC2HEX(((D202)*2^0),8)</f>
        <v>00000000</v>
      </c>
      <c r="F202" s="190" t="s">
        <v>362</v>
      </c>
      <c r="G202" s="140"/>
      <c r="H202" s="140"/>
      <c r="I202" s="50"/>
      <c r="J202" s="134"/>
      <c r="K202" s="1"/>
      <c r="L202" s="1"/>
      <c r="M202" s="1"/>
      <c r="N202" s="1"/>
      <c r="O202" s="1"/>
      <c r="P202" s="1"/>
      <c r="Q202" s="1"/>
      <c r="R202" s="1"/>
      <c r="S202" s="1"/>
      <c r="T202" s="1"/>
      <c r="U202" s="1"/>
      <c r="V202" s="1"/>
    </row>
    <row r="203" ht="12.0" customHeight="1">
      <c r="A203" s="1"/>
      <c r="B203" s="109"/>
      <c r="C203" s="109"/>
      <c r="D203" s="109"/>
      <c r="E203" s="142"/>
      <c r="F203" s="151"/>
      <c r="G203" s="142"/>
      <c r="H203" s="142"/>
      <c r="I203" s="142"/>
      <c r="J203" s="134"/>
      <c r="K203" s="1"/>
      <c r="L203" s="1"/>
      <c r="M203" s="1"/>
      <c r="N203" s="1"/>
      <c r="O203" s="1"/>
      <c r="P203" s="1"/>
      <c r="Q203" s="1"/>
      <c r="R203" s="1"/>
      <c r="S203" s="1"/>
      <c r="T203" s="1"/>
      <c r="U203" s="1"/>
      <c r="V203" s="1"/>
    </row>
    <row r="204" ht="12.0" customHeight="1">
      <c r="A204" s="1"/>
      <c r="B204" s="202" t="s">
        <v>363</v>
      </c>
      <c r="C204" s="153"/>
      <c r="D204" s="153"/>
      <c r="E204" s="153"/>
      <c r="F204" s="153"/>
      <c r="G204" s="153"/>
      <c r="H204" s="153"/>
      <c r="I204" s="73"/>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ht="12.0" customHeight="1">
      <c r="A205" s="1"/>
      <c r="B205" s="1"/>
      <c r="C205" s="1"/>
      <c r="D205" s="1"/>
      <c r="E205" s="31"/>
      <c r="F205" s="1"/>
      <c r="G205" s="31"/>
      <c r="H205" s="31"/>
      <c r="I205" s="3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ht="41.25" customHeight="1">
      <c r="A206" s="1"/>
      <c r="B206" s="251" t="s">
        <v>364</v>
      </c>
      <c r="C206" s="153"/>
      <c r="D206" s="73"/>
      <c r="E206" s="31"/>
      <c r="F206" s="1"/>
      <c r="G206" s="31"/>
      <c r="H206" s="31"/>
      <c r="I206" s="3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ht="12.0" customHeight="1">
      <c r="A207" s="1"/>
      <c r="B207" s="111" t="s">
        <v>365</v>
      </c>
      <c r="C207" s="111" t="s">
        <v>83</v>
      </c>
      <c r="D207" s="111" t="s">
        <v>84</v>
      </c>
      <c r="E207" s="111" t="s">
        <v>85</v>
      </c>
      <c r="F207" s="112" t="s">
        <v>86</v>
      </c>
      <c r="G207" s="113" t="s">
        <v>87</v>
      </c>
      <c r="H207" s="111" t="s">
        <v>88</v>
      </c>
      <c r="I207" s="111" t="s">
        <v>89</v>
      </c>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ht="8.25" customHeight="1">
      <c r="A208" s="1"/>
      <c r="B208" s="114"/>
      <c r="C208" s="114"/>
      <c r="D208" s="114"/>
      <c r="E208" s="114"/>
      <c r="F208" s="115"/>
      <c r="G208" s="114"/>
      <c r="H208" s="114"/>
      <c r="I208" s="114"/>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ht="12.0" customHeight="1">
      <c r="A209" s="1"/>
      <c r="B209" s="252" t="s">
        <v>366</v>
      </c>
      <c r="C209" s="253" t="s">
        <v>91</v>
      </c>
      <c r="D209" s="254">
        <v>1.0</v>
      </c>
      <c r="E209" s="121" t="str">
        <f>DEC2HEX(((D209)*2^23),8)</f>
        <v>00800000</v>
      </c>
      <c r="F209" s="255" t="s">
        <v>367</v>
      </c>
      <c r="G209" s="256" t="s">
        <v>368</v>
      </c>
      <c r="H209" s="156" t="str">
        <f>"0x"&amp;DEC2HEX((HEX2DEC(C35)+220), 8)</f>
        <v>0x3D4000DC</v>
      </c>
      <c r="I209" s="157" t="str">
        <f>"0x"&amp;DEC2HEX((HEX2DEC(E209)+HEX2DEC(E210)+HEX2DEC(E211)+HEX2DEC(E212)+HEX2DEC(E213)+HEX2DEC(E214)+HEX2DEC(E215)+HEX2DEC(E216)+HEX2DEC(E217)),8)</f>
        <v>0x00F4003F</v>
      </c>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ht="12.0" customHeight="1">
      <c r="A210" s="1"/>
      <c r="B210" s="257" t="s">
        <v>369</v>
      </c>
      <c r="C210" s="175" t="s">
        <v>91</v>
      </c>
      <c r="D210" s="176">
        <f>D216</f>
        <v>7</v>
      </c>
      <c r="E210" s="132" t="str">
        <f>DEC2HEX(((D210)*2^20),8)</f>
        <v>00700000</v>
      </c>
      <c r="F210" s="258" t="s">
        <v>370</v>
      </c>
      <c r="G210" s="259"/>
      <c r="H210" s="60"/>
      <c r="I210" s="164"/>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ht="12.0" customHeight="1">
      <c r="A211" s="1"/>
      <c r="B211" s="257" t="s">
        <v>371</v>
      </c>
      <c r="C211" s="175" t="s">
        <v>91</v>
      </c>
      <c r="D211" s="130">
        <v>0.0</v>
      </c>
      <c r="E211" s="132" t="str">
        <f>DEC2HEX(((D211)*2^19),8)</f>
        <v>00000000</v>
      </c>
      <c r="F211" s="260" t="s">
        <v>372</v>
      </c>
      <c r="G211" s="259"/>
      <c r="H211" s="60"/>
      <c r="I211" s="164"/>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ht="12.0" customHeight="1">
      <c r="A212" s="1"/>
      <c r="B212" s="257" t="s">
        <v>373</v>
      </c>
      <c r="C212" s="175" t="s">
        <v>91</v>
      </c>
      <c r="D212" s="130">
        <v>1.0</v>
      </c>
      <c r="E212" s="132" t="str">
        <f>DEC2HEX(((D212)*2^18),8)</f>
        <v>00040000</v>
      </c>
      <c r="F212" s="260" t="s">
        <v>374</v>
      </c>
      <c r="G212" s="259"/>
      <c r="H212" s="60"/>
      <c r="I212" s="164"/>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ht="12.0" customHeight="1">
      <c r="A213" s="1"/>
      <c r="B213" s="261" t="s">
        <v>375</v>
      </c>
      <c r="C213" s="178" t="s">
        <v>91</v>
      </c>
      <c r="D213" s="138">
        <v>0.0</v>
      </c>
      <c r="E213" s="136" t="str">
        <f>DEC2HEX(((D213)*2^16),8)</f>
        <v>00000000</v>
      </c>
      <c r="F213" s="262" t="s">
        <v>376</v>
      </c>
      <c r="G213" s="259"/>
      <c r="H213" s="60"/>
      <c r="I213" s="164"/>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ht="52.5" customHeight="1">
      <c r="A214" s="1"/>
      <c r="B214" s="263" t="s">
        <v>377</v>
      </c>
      <c r="C214" s="264" t="s">
        <v>91</v>
      </c>
      <c r="D214" s="265">
        <v>0.0</v>
      </c>
      <c r="E214" s="126" t="str">
        <f>DEC2HEX(((D214)*2^7),8)</f>
        <v>00000000</v>
      </c>
      <c r="F214" s="266" t="s">
        <v>378</v>
      </c>
      <c r="G214" s="259"/>
      <c r="H214" s="60"/>
      <c r="I214" s="164"/>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ht="12.0" customHeight="1">
      <c r="A215" s="1"/>
      <c r="B215" s="263" t="s">
        <v>379</v>
      </c>
      <c r="C215" s="175" t="s">
        <v>91</v>
      </c>
      <c r="D215" s="267">
        <v>0.0</v>
      </c>
      <c r="E215" s="126" t="str">
        <f>DEC2HEX(((D215)*2^6),8)</f>
        <v>00000000</v>
      </c>
      <c r="F215" s="266" t="s">
        <v>380</v>
      </c>
      <c r="G215" s="259"/>
      <c r="H215" s="60"/>
      <c r="I215" s="164"/>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ht="12.0" customHeight="1">
      <c r="A216" s="1"/>
      <c r="B216" s="263" t="s">
        <v>381</v>
      </c>
      <c r="C216" s="175" t="s">
        <v>91</v>
      </c>
      <c r="D216" s="176">
        <f>(C127-4)/2</f>
        <v>7</v>
      </c>
      <c r="E216" s="126" t="str">
        <f>DEC2HEX(((D216)*2^3),8)</f>
        <v>00000038</v>
      </c>
      <c r="F216" s="266" t="s">
        <v>382</v>
      </c>
      <c r="G216" s="259"/>
      <c r="H216" s="60"/>
      <c r="I216" s="164"/>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ht="12.0" customHeight="1">
      <c r="A217" s="1"/>
      <c r="B217" s="268" t="s">
        <v>383</v>
      </c>
      <c r="C217" s="178" t="s">
        <v>91</v>
      </c>
      <c r="D217" s="158">
        <f>D216</f>
        <v>7</v>
      </c>
      <c r="E217" s="269" t="str">
        <f>DEC2HEX(((D217)*2^0),8)</f>
        <v>00000007</v>
      </c>
      <c r="F217" s="270" t="s">
        <v>384</v>
      </c>
      <c r="G217" s="49"/>
      <c r="H217" s="140"/>
      <c r="I217" s="50"/>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ht="9.0" customHeight="1">
      <c r="A218" s="1"/>
      <c r="B218" s="271"/>
      <c r="C218" s="272"/>
      <c r="D218" s="273"/>
      <c r="E218" s="272"/>
      <c r="F218" s="271"/>
      <c r="G218" s="274"/>
      <c r="H218" s="274"/>
      <c r="I218" s="274"/>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ht="12.0" customHeight="1">
      <c r="A219" s="1"/>
      <c r="B219" s="111" t="s">
        <v>385</v>
      </c>
      <c r="C219" s="111" t="s">
        <v>83</v>
      </c>
      <c r="D219" s="111" t="s">
        <v>84</v>
      </c>
      <c r="E219" s="111" t="s">
        <v>85</v>
      </c>
      <c r="F219" s="112" t="s">
        <v>86</v>
      </c>
      <c r="G219" s="113" t="s">
        <v>87</v>
      </c>
      <c r="H219" s="111" t="s">
        <v>88</v>
      </c>
      <c r="I219" s="111" t="s">
        <v>89</v>
      </c>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ht="3.0" customHeight="1">
      <c r="A220" s="1"/>
      <c r="B220" s="114"/>
      <c r="C220" s="114"/>
      <c r="D220" s="114"/>
      <c r="E220" s="114"/>
      <c r="F220" s="115"/>
      <c r="G220" s="114"/>
      <c r="H220" s="114"/>
      <c r="I220" s="114"/>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ht="12.0" customHeight="1">
      <c r="A221" s="1"/>
      <c r="B221" s="275" t="s">
        <v>386</v>
      </c>
      <c r="C221" s="117" t="s">
        <v>91</v>
      </c>
      <c r="D221" s="216">
        <f>D305</f>
        <v>0</v>
      </c>
      <c r="E221" s="119" t="str">
        <f>DEC2HEX(((D221)*2^23),8)</f>
        <v>00000000</v>
      </c>
      <c r="F221" s="276" t="s">
        <v>387</v>
      </c>
      <c r="G221" s="256" t="s">
        <v>388</v>
      </c>
      <c r="H221" s="156" t="str">
        <f>"0x"&amp;DEC2HEX((HEX2DEC(C35)+224), 8)</f>
        <v>0x3D4000E0</v>
      </c>
      <c r="I221" s="157" t="str">
        <f>"0x"&amp;DEC2HEX((HEX2DEC(E221)+HEX2DEC(E222)+HEX2DEC(E223)+HEX2DEC(E224)+HEX2DEC(E225)+HEX2DEC(E226)+HEX2DEC(E227)+HEX2DEC(E228)+HEX2DEC(E229)+HEX2DEC(E230)+HEX2DEC(E231)+HEX2DEC(E232)+HEX2DEC(E233)+HEX2DEC(E234) ), 8)</f>
        <v>0x00330000</v>
      </c>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ht="12.0" customHeight="1">
      <c r="A222" s="1"/>
      <c r="B222" s="257" t="s">
        <v>389</v>
      </c>
      <c r="C222" s="175" t="s">
        <v>91</v>
      </c>
      <c r="D222" s="176">
        <f>D304</f>
        <v>0</v>
      </c>
      <c r="E222" s="132" t="str">
        <f>DEC2HEX(((D222)*2^22),8)</f>
        <v>00000000</v>
      </c>
      <c r="F222" s="277" t="s">
        <v>390</v>
      </c>
      <c r="G222" s="259"/>
      <c r="H222" s="60"/>
      <c r="I222" s="164"/>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ht="12.0" customHeight="1">
      <c r="A223" s="1"/>
      <c r="B223" s="257" t="s">
        <v>391</v>
      </c>
      <c r="C223" s="175" t="s">
        <v>91</v>
      </c>
      <c r="D223" s="278">
        <v>6.0</v>
      </c>
      <c r="E223" s="132" t="str">
        <f>DEC2HEX(((D223)*2^19),8)</f>
        <v>00300000</v>
      </c>
      <c r="F223" s="277" t="s">
        <v>392</v>
      </c>
      <c r="G223" s="259"/>
      <c r="H223" s="60"/>
      <c r="I223" s="164"/>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ht="12.0" customHeight="1">
      <c r="A224" s="1"/>
      <c r="B224" s="257" t="s">
        <v>393</v>
      </c>
      <c r="C224" s="175" t="s">
        <v>91</v>
      </c>
      <c r="D224" s="130">
        <v>0.0</v>
      </c>
      <c r="E224" s="132" t="str">
        <f>DEC2HEX(((D224)*2^18),8)</f>
        <v>00000000</v>
      </c>
      <c r="F224" s="277" t="s">
        <v>394</v>
      </c>
      <c r="G224" s="259"/>
      <c r="H224" s="60"/>
      <c r="I224" s="164"/>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ht="12.0" customHeight="1">
      <c r="A225" s="1"/>
      <c r="B225" s="257" t="s">
        <v>395</v>
      </c>
      <c r="C225" s="175" t="s">
        <v>91</v>
      </c>
      <c r="D225" s="279">
        <v>1.0</v>
      </c>
      <c r="E225" s="132" t="str">
        <f>DEC2HEX(((D225)*2^17),8)</f>
        <v>00020000</v>
      </c>
      <c r="F225" s="277" t="s">
        <v>396</v>
      </c>
      <c r="G225" s="259"/>
      <c r="H225" s="60"/>
      <c r="I225" s="164"/>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ht="12.0" customHeight="1">
      <c r="A226" s="1"/>
      <c r="B226" s="261" t="s">
        <v>397</v>
      </c>
      <c r="C226" s="178" t="s">
        <v>91</v>
      </c>
      <c r="D226" s="280">
        <v>1.0</v>
      </c>
      <c r="E226" s="136" t="str">
        <f>DEC2HEX(((D226)*2^16),8)</f>
        <v>00010000</v>
      </c>
      <c r="F226" s="281" t="s">
        <v>398</v>
      </c>
      <c r="G226" s="259"/>
      <c r="H226" s="60"/>
      <c r="I226" s="164"/>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ht="12.0" customHeight="1">
      <c r="A227" s="1"/>
      <c r="B227" s="282" t="s">
        <v>399</v>
      </c>
      <c r="C227" s="264" t="s">
        <v>91</v>
      </c>
      <c r="D227" s="206">
        <v>0.0</v>
      </c>
      <c r="E227" s="126" t="str">
        <f>DEC2HEX(((D227)*2^7),8)</f>
        <v>00000000</v>
      </c>
      <c r="F227" s="283" t="s">
        <v>400</v>
      </c>
      <c r="G227" s="259"/>
      <c r="H227" s="60"/>
      <c r="I227" s="164"/>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ht="12.0" customHeight="1">
      <c r="A228" s="1"/>
      <c r="B228" s="284" t="s">
        <v>401</v>
      </c>
      <c r="C228" s="175" t="s">
        <v>91</v>
      </c>
      <c r="D228" s="130">
        <v>0.0</v>
      </c>
      <c r="E228" s="132" t="str">
        <f>DEC2HEX(((D228)*2^6),8)</f>
        <v>00000000</v>
      </c>
      <c r="F228" s="277" t="s">
        <v>402</v>
      </c>
      <c r="G228" s="259"/>
      <c r="H228" s="60"/>
      <c r="I228" s="164"/>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ht="12.0" customHeight="1">
      <c r="A229" s="1"/>
      <c r="B229" s="284" t="s">
        <v>403</v>
      </c>
      <c r="C229" s="175" t="s">
        <v>91</v>
      </c>
      <c r="D229" s="279">
        <v>0.0</v>
      </c>
      <c r="E229" s="132" t="str">
        <f>DEC2HEX(((D229)*2^5),8)</f>
        <v>00000000</v>
      </c>
      <c r="F229" s="277" t="s">
        <v>404</v>
      </c>
      <c r="G229" s="259"/>
      <c r="H229" s="60"/>
      <c r="I229" s="164"/>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ht="12.0" customHeight="1">
      <c r="A230" s="1"/>
      <c r="B230" s="284" t="s">
        <v>405</v>
      </c>
      <c r="C230" s="175" t="s">
        <v>91</v>
      </c>
      <c r="D230" s="130">
        <v>0.0</v>
      </c>
      <c r="E230" s="132" t="str">
        <f>DEC2HEX(((D230)*2^4),8)</f>
        <v>00000000</v>
      </c>
      <c r="F230" s="277" t="s">
        <v>406</v>
      </c>
      <c r="G230" s="259"/>
      <c r="H230" s="60"/>
      <c r="I230" s="164"/>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ht="12.0" customHeight="1">
      <c r="A231" s="1"/>
      <c r="B231" s="284" t="s">
        <v>407</v>
      </c>
      <c r="C231" s="175" t="s">
        <v>91</v>
      </c>
      <c r="D231" s="130">
        <v>0.0</v>
      </c>
      <c r="E231" s="132" t="str">
        <f>DEC2HEX(((D231)*2^3),8)</f>
        <v>00000000</v>
      </c>
      <c r="F231" s="277" t="s">
        <v>408</v>
      </c>
      <c r="G231" s="259"/>
      <c r="H231" s="60"/>
      <c r="I231" s="164"/>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ht="12.0" customHeight="1">
      <c r="A232" s="1"/>
      <c r="B232" s="284" t="s">
        <v>409</v>
      </c>
      <c r="C232" s="175" t="s">
        <v>91</v>
      </c>
      <c r="D232" s="130">
        <v>0.0</v>
      </c>
      <c r="E232" s="132" t="str">
        <f>DEC2HEX(((D232)*2^2),8)</f>
        <v>00000000</v>
      </c>
      <c r="F232" s="277" t="s">
        <v>410</v>
      </c>
      <c r="G232" s="259"/>
      <c r="H232" s="60"/>
      <c r="I232" s="164"/>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ht="12.0" customHeight="1">
      <c r="A233" s="1"/>
      <c r="B233" s="284" t="s">
        <v>411</v>
      </c>
      <c r="C233" s="175" t="s">
        <v>91</v>
      </c>
      <c r="D233" s="130">
        <v>0.0</v>
      </c>
      <c r="E233" s="132" t="str">
        <f>DEC2HEX(((D233)*2^1),8)</f>
        <v>00000000</v>
      </c>
      <c r="F233" s="277" t="s">
        <v>412</v>
      </c>
      <c r="G233" s="259"/>
      <c r="H233" s="60"/>
      <c r="I233" s="164"/>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ht="12.0" customHeight="1">
      <c r="A234" s="1"/>
      <c r="B234" s="285" t="s">
        <v>413</v>
      </c>
      <c r="C234" s="178" t="s">
        <v>91</v>
      </c>
      <c r="D234" s="138">
        <v>0.0</v>
      </c>
      <c r="E234" s="136" t="str">
        <f>DEC2HEX(((D234)*2^0),8)</f>
        <v>00000000</v>
      </c>
      <c r="F234" s="281" t="s">
        <v>414</v>
      </c>
      <c r="G234" s="49"/>
      <c r="H234" s="140"/>
      <c r="I234" s="50"/>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ht="6.75" customHeight="1">
      <c r="A235" s="1"/>
      <c r="B235" s="1"/>
      <c r="C235" s="1"/>
      <c r="D235" s="1"/>
      <c r="E235" s="31"/>
      <c r="F235" s="1"/>
      <c r="G235" s="31"/>
      <c r="H235" s="31"/>
      <c r="I235" s="3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ht="12.0" customHeight="1">
      <c r="A236" s="1"/>
      <c r="B236" s="286" t="s">
        <v>415</v>
      </c>
      <c r="C236" s="117" t="s">
        <v>91</v>
      </c>
      <c r="D236" s="287">
        <v>6.0</v>
      </c>
      <c r="E236" s="119" t="str">
        <f>DEC2HEX(((D236)*2^20),8)</f>
        <v>00600000</v>
      </c>
      <c r="F236" s="288" t="s">
        <v>416</v>
      </c>
      <c r="G236" s="289" t="s">
        <v>417</v>
      </c>
      <c r="H236" s="289" t="str">
        <f>"0x"&amp;DEC2HEX((HEX2DEC(C35)+232), 8)</f>
        <v>0x3D4000E8</v>
      </c>
      <c r="I236" s="290" t="str">
        <f>"0x"&amp;DEC2HEX((HEX2DEC(E236)+HEX2DEC(E237)+HEX2DEC(E238)+HEX2DEC(E239)), 8)</f>
        <v>0x00660048</v>
      </c>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ht="12.0" customHeight="1">
      <c r="A237" s="1"/>
      <c r="B237" s="291" t="s">
        <v>418</v>
      </c>
      <c r="C237" s="175" t="s">
        <v>91</v>
      </c>
      <c r="D237" s="279">
        <v>6.0</v>
      </c>
      <c r="E237" s="126" t="str">
        <f>DEC2HEX(((D237)*2^16),8)</f>
        <v>00060000</v>
      </c>
      <c r="F237" s="292" t="s">
        <v>419</v>
      </c>
      <c r="G237" s="60"/>
      <c r="H237" s="60"/>
      <c r="I237" s="164"/>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ht="12.0" customHeight="1">
      <c r="A238" s="1"/>
      <c r="B238" s="291" t="s">
        <v>420</v>
      </c>
      <c r="C238" s="175" t="s">
        <v>91</v>
      </c>
      <c r="D238" s="219">
        <v>1.0</v>
      </c>
      <c r="E238" s="126" t="str">
        <f>DEC2HEX(((D238)*2^6),8)</f>
        <v>00000040</v>
      </c>
      <c r="F238" s="292" t="s">
        <v>421</v>
      </c>
      <c r="G238" s="60"/>
      <c r="H238" s="60"/>
      <c r="I238" s="164"/>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ht="12.0" customHeight="1">
      <c r="A239" s="1"/>
      <c r="B239" s="293" t="s">
        <v>422</v>
      </c>
      <c r="C239" s="178" t="s">
        <v>91</v>
      </c>
      <c r="D239" s="294">
        <v>8.0</v>
      </c>
      <c r="E239" s="269" t="str">
        <f>DEC2HEX(((D239)*2^0),8)</f>
        <v>00000008</v>
      </c>
      <c r="F239" s="295" t="s">
        <v>423</v>
      </c>
      <c r="G239" s="140"/>
      <c r="H239" s="140"/>
      <c r="I239" s="50"/>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ht="8.25" customHeight="1">
      <c r="A240" s="1"/>
      <c r="B240" s="1"/>
      <c r="C240" s="109"/>
      <c r="D240" s="134"/>
      <c r="E240" s="109"/>
      <c r="F240" s="4"/>
      <c r="G240" s="134"/>
      <c r="H240" s="134"/>
      <c r="I240" s="134"/>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ht="12.0" customHeight="1">
      <c r="A241" s="1"/>
      <c r="B241" s="286" t="s">
        <v>424</v>
      </c>
      <c r="C241" s="117" t="s">
        <v>91</v>
      </c>
      <c r="D241" s="287">
        <v>0.0</v>
      </c>
      <c r="E241" s="119" t="str">
        <f>DEC2HEX(((D241)*2^21),8)</f>
        <v>00000000</v>
      </c>
      <c r="F241" s="296" t="s">
        <v>425</v>
      </c>
      <c r="G241" s="289" t="s">
        <v>426</v>
      </c>
      <c r="H241" s="289" t="str">
        <f>"0x"&amp;DEC2HEX((HEX2DEC(C35)+236), 8)</f>
        <v>0x3D4000EC</v>
      </c>
      <c r="I241" s="290" t="str">
        <f>"0x"&amp;DEC2HEX((HEX2DEC(E241)+HEX2DEC(E242)+HEX2DEC(E243)+HEX2DEC(E244)+HEX2DEC(E245)+HEX2DEC(E246) ), 8)</f>
        <v>0x00160048</v>
      </c>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ht="12.0" customHeight="1">
      <c r="A242" s="1"/>
      <c r="B242" s="291" t="s">
        <v>427</v>
      </c>
      <c r="C242" s="175" t="s">
        <v>91</v>
      </c>
      <c r="D242" s="279">
        <v>1.0</v>
      </c>
      <c r="E242" s="126" t="str">
        <f>DEC2HEX(((D242)*2^20),8)</f>
        <v>00100000</v>
      </c>
      <c r="F242" s="292" t="s">
        <v>428</v>
      </c>
      <c r="G242" s="60"/>
      <c r="H242" s="60"/>
      <c r="I242" s="164"/>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ht="12.0" customHeight="1">
      <c r="A243" s="1"/>
      <c r="B243" s="291" t="s">
        <v>429</v>
      </c>
      <c r="C243" s="175" t="s">
        <v>91</v>
      </c>
      <c r="D243" s="279">
        <v>0.0</v>
      </c>
      <c r="E243" s="126" t="str">
        <f>DEC2HEX(((D243)*2^19),8)</f>
        <v>00000000</v>
      </c>
      <c r="F243" s="292" t="s">
        <v>430</v>
      </c>
      <c r="G243" s="60"/>
      <c r="H243" s="60"/>
      <c r="I243" s="164"/>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ht="12.0" customHeight="1">
      <c r="A244" s="1"/>
      <c r="B244" s="291" t="s">
        <v>431</v>
      </c>
      <c r="C244" s="175" t="s">
        <v>91</v>
      </c>
      <c r="D244" s="279">
        <v>6.0</v>
      </c>
      <c r="E244" s="126" t="str">
        <f>DEC2HEX(((D244)*2^16),8)</f>
        <v>00060000</v>
      </c>
      <c r="F244" s="292" t="s">
        <v>432</v>
      </c>
      <c r="G244" s="60"/>
      <c r="H244" s="60"/>
      <c r="I244" s="164"/>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ht="12.0" customHeight="1">
      <c r="A245" s="1"/>
      <c r="B245" s="291" t="s">
        <v>433</v>
      </c>
      <c r="C245" s="175" t="s">
        <v>91</v>
      </c>
      <c r="D245" s="219">
        <v>1.0</v>
      </c>
      <c r="E245" s="126" t="str">
        <f>DEC2HEX(((D245)*2^6),8)</f>
        <v>00000040</v>
      </c>
      <c r="F245" s="292" t="s">
        <v>434</v>
      </c>
      <c r="G245" s="60"/>
      <c r="H245" s="60"/>
      <c r="I245" s="164"/>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ht="12.0" customHeight="1">
      <c r="A246" s="1"/>
      <c r="B246" s="293" t="s">
        <v>435</v>
      </c>
      <c r="C246" s="178" t="s">
        <v>91</v>
      </c>
      <c r="D246" s="294">
        <v>8.0</v>
      </c>
      <c r="E246" s="269" t="str">
        <f>DEC2HEX(((D246)*2^0),8)</f>
        <v>00000008</v>
      </c>
      <c r="F246" s="297" t="s">
        <v>436</v>
      </c>
      <c r="G246" s="140"/>
      <c r="H246" s="140"/>
      <c r="I246" s="50"/>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ht="12.0" customHeight="1">
      <c r="A247" s="1"/>
      <c r="B247" s="1"/>
      <c r="C247" s="109"/>
      <c r="D247" s="134"/>
      <c r="E247" s="109"/>
      <c r="F247" s="4"/>
      <c r="G247" s="134"/>
      <c r="H247" s="134"/>
      <c r="I247" s="134"/>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ht="12.0" customHeight="1">
      <c r="A248" s="1"/>
      <c r="B248" s="298" t="s">
        <v>437</v>
      </c>
      <c r="C248" s="117" t="s">
        <v>91</v>
      </c>
      <c r="D248" s="299">
        <f>IF(D83=0, ECC_Config_BinaryAligned!B64,ECC_Config_nonBinaryAligned!B129)</f>
        <v>1</v>
      </c>
      <c r="E248" s="119" t="str">
        <f>DEC2HEX(((D248)*2^30),8)</f>
        <v>40000000</v>
      </c>
      <c r="F248" s="300" t="s">
        <v>438</v>
      </c>
      <c r="G248" s="256" t="s">
        <v>439</v>
      </c>
      <c r="H248" s="156" t="s">
        <v>440</v>
      </c>
      <c r="I248" s="157" t="str">
        <f>"0x"&amp;DEC2HEX((HEX2DEC(E248)+HEX2DEC(E249)+HEX2DEC(E250)+HEX2DEC(E251)+HEX2DEC(E252)+HEX2DEC(E253)+HEX2DEC(E254)+HEX2DEC(E255)+HEX2DEC(E256)+HEX2DEC(E257)+HEX2DEC(E258) ), 8)</f>
        <v>0x61027F10</v>
      </c>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ht="90.0" customHeight="1">
      <c r="A249" s="1"/>
      <c r="B249" s="257" t="s">
        <v>441</v>
      </c>
      <c r="C249" s="175" t="s">
        <v>91</v>
      </c>
      <c r="D249" s="301">
        <f>IF(D83=0, ECC_Config_BinaryAligned!B66, ECC_Config_nonBinaryAligned!B131)</f>
        <v>1</v>
      </c>
      <c r="E249" s="132" t="str">
        <f>DEC2HEX(((D249)*2^29),8)</f>
        <v>20000000</v>
      </c>
      <c r="F249" s="302" t="s">
        <v>442</v>
      </c>
      <c r="G249" s="259"/>
      <c r="H249" s="60"/>
      <c r="I249" s="164"/>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ht="12.0" customHeight="1">
      <c r="A250" s="1"/>
      <c r="B250" s="257" t="s">
        <v>443</v>
      </c>
      <c r="C250" s="175" t="s">
        <v>91</v>
      </c>
      <c r="D250" s="130">
        <v>1.0</v>
      </c>
      <c r="E250" s="132" t="str">
        <f>DEC2HEX(((D250)*2^24),8)</f>
        <v>01000000</v>
      </c>
      <c r="F250" s="302" t="s">
        <v>444</v>
      </c>
      <c r="G250" s="259"/>
      <c r="H250" s="60"/>
      <c r="I250" s="164"/>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ht="12.0" customHeight="1">
      <c r="A251" s="1"/>
      <c r="B251" s="257" t="s">
        <v>445</v>
      </c>
      <c r="C251" s="175" t="s">
        <v>91</v>
      </c>
      <c r="D251" s="130">
        <v>2.0</v>
      </c>
      <c r="E251" s="132" t="str">
        <f>DEC2HEX(((D251)*2^16),8)</f>
        <v>00020000</v>
      </c>
      <c r="F251" s="302" t="s">
        <v>446</v>
      </c>
      <c r="G251" s="259"/>
      <c r="H251" s="60"/>
      <c r="I251" s="164"/>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ht="264.75" customHeight="1">
      <c r="A252" s="1"/>
      <c r="B252" s="257" t="s">
        <v>447</v>
      </c>
      <c r="C252" s="175" t="s">
        <v>91</v>
      </c>
      <c r="D252" s="301">
        <f>IF(D83=0, ECC_Config_BinaryAligned!B75, ECC_Config_nonBinaryAligned!B140)</f>
        <v>127</v>
      </c>
      <c r="E252" s="132" t="str">
        <f>DEC2HEX(((D252)*2^8),8)</f>
        <v>00007F00</v>
      </c>
      <c r="F252" s="302" t="s">
        <v>448</v>
      </c>
      <c r="G252" s="259"/>
      <c r="H252" s="60"/>
      <c r="I252" s="164"/>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ht="12.0" customHeight="1">
      <c r="A253" s="1"/>
      <c r="B253" s="257" t="s">
        <v>449</v>
      </c>
      <c r="C253" s="175" t="s">
        <v>91</v>
      </c>
      <c r="D253" s="130">
        <v>0.0</v>
      </c>
      <c r="E253" s="132" t="str">
        <f>DEC2HEX(((D253)*2^7),8)</f>
        <v>00000000</v>
      </c>
      <c r="F253" s="302" t="s">
        <v>450</v>
      </c>
      <c r="G253" s="259"/>
      <c r="H253" s="60"/>
      <c r="I253" s="164"/>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ht="12.0" customHeight="1">
      <c r="A254" s="1"/>
      <c r="B254" s="257" t="s">
        <v>451</v>
      </c>
      <c r="C254" s="175" t="s">
        <v>91</v>
      </c>
      <c r="D254" s="303">
        <f>IF(G27 ="ENABLED", 1, 0)</f>
        <v>0</v>
      </c>
      <c r="E254" s="132" t="str">
        <f>DEC2HEX(((D254)*2^6),8)</f>
        <v>00000000</v>
      </c>
      <c r="F254" s="302" t="s">
        <v>452</v>
      </c>
      <c r="G254" s="259"/>
      <c r="H254" s="60"/>
      <c r="I254" s="164"/>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ht="12.0" customHeight="1">
      <c r="A255" s="1"/>
      <c r="B255" s="304" t="s">
        <v>453</v>
      </c>
      <c r="C255" s="240" t="s">
        <v>91</v>
      </c>
      <c r="D255" s="130">
        <v>0.0</v>
      </c>
      <c r="E255" s="132" t="str">
        <f>DEC2HEX(((D255)*2^5),8)</f>
        <v>00000000</v>
      </c>
      <c r="F255" s="302" t="s">
        <v>454</v>
      </c>
      <c r="G255" s="259"/>
      <c r="H255" s="60"/>
      <c r="I255" s="164"/>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ht="12.0" customHeight="1">
      <c r="A256" s="1"/>
      <c r="B256" s="304" t="s">
        <v>455</v>
      </c>
      <c r="C256" s="240" t="s">
        <v>91</v>
      </c>
      <c r="D256" s="130">
        <v>1.0</v>
      </c>
      <c r="E256" s="132" t="str">
        <f>DEC2HEX(((D256)*2^4),8)</f>
        <v>00000010</v>
      </c>
      <c r="F256" s="302" t="s">
        <v>456</v>
      </c>
      <c r="G256" s="259"/>
      <c r="H256" s="60"/>
      <c r="I256" s="164"/>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ht="154.5" customHeight="1">
      <c r="A257" s="305"/>
      <c r="B257" s="257" t="s">
        <v>457</v>
      </c>
      <c r="C257" s="175" t="s">
        <v>91</v>
      </c>
      <c r="D257" s="206">
        <v>0.0</v>
      </c>
      <c r="E257" s="126" t="str">
        <f>DEC2HEX(((D257)*2^3),8)</f>
        <v>00000000</v>
      </c>
      <c r="F257" s="306" t="s">
        <v>458</v>
      </c>
      <c r="G257" s="259"/>
      <c r="H257" s="60"/>
      <c r="I257" s="164"/>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ht="12.0" customHeight="1">
      <c r="A258" s="1"/>
      <c r="B258" s="261" t="s">
        <v>459</v>
      </c>
      <c r="C258" s="178" t="s">
        <v>91</v>
      </c>
      <c r="D258" s="307">
        <f>IF(G27 ="ENABLED", 4, 0)</f>
        <v>0</v>
      </c>
      <c r="E258" s="136" t="str">
        <f>DEC2HEX(((D258)*2^0),8)</f>
        <v>00000000</v>
      </c>
      <c r="F258" s="308" t="s">
        <v>460</v>
      </c>
      <c r="G258" s="49"/>
      <c r="H258" s="140"/>
      <c r="I258" s="50"/>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ht="12.0" customHeight="1">
      <c r="A259" s="1"/>
      <c r="B259" s="1"/>
      <c r="C259" s="1"/>
      <c r="D259" s="309"/>
      <c r="E259" s="31"/>
      <c r="F259" s="309"/>
      <c r="G259" s="31"/>
      <c r="H259" s="31"/>
      <c r="I259" s="3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ht="12.0" customHeight="1">
      <c r="A260" s="1"/>
      <c r="B260" s="298" t="s">
        <v>461</v>
      </c>
      <c r="C260" s="117" t="s">
        <v>91</v>
      </c>
      <c r="D260" s="206">
        <v>7.0</v>
      </c>
      <c r="E260" s="119" t="str">
        <f>DEC2HEX(((D260)*2^8),8)</f>
        <v>00000700</v>
      </c>
      <c r="F260" s="310" t="s">
        <v>462</v>
      </c>
      <c r="G260" s="256" t="s">
        <v>463</v>
      </c>
      <c r="H260" s="156" t="s">
        <v>464</v>
      </c>
      <c r="I260" s="157" t="str">
        <f>"0x"&amp;DEC2HEX((HEX2DEC(E260)+HEX2DEC(E261)+HEX2DEC(E262)+HEX2DEC(E263)+HEX2DEC(E264)+HEX2DEC(E265)+HEX2DEC(E266) ), 8)</f>
        <v>0x000007B0</v>
      </c>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ht="12.0" customHeight="1">
      <c r="A261" s="1"/>
      <c r="B261" s="257" t="s">
        <v>465</v>
      </c>
      <c r="C261" s="175" t="s">
        <v>91</v>
      </c>
      <c r="D261" s="130">
        <v>1.0</v>
      </c>
      <c r="E261" s="132" t="str">
        <f>DEC2HEX(((D261)*2^7),8)</f>
        <v>00000080</v>
      </c>
      <c r="F261" s="302" t="s">
        <v>466</v>
      </c>
      <c r="G261" s="259"/>
      <c r="H261" s="60"/>
      <c r="I261" s="164"/>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ht="12.0" customHeight="1">
      <c r="A262" s="1"/>
      <c r="B262" s="257" t="s">
        <v>467</v>
      </c>
      <c r="C262" s="175" t="s">
        <v>91</v>
      </c>
      <c r="D262" s="130">
        <v>1.0</v>
      </c>
      <c r="E262" s="132" t="str">
        <f>DEC2HEX(((D262)*2^5),8)</f>
        <v>00000020</v>
      </c>
      <c r="F262" s="302" t="s">
        <v>468</v>
      </c>
      <c r="G262" s="259"/>
      <c r="H262" s="60"/>
      <c r="I262" s="164"/>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ht="12.0" customHeight="1">
      <c r="A263" s="1"/>
      <c r="B263" s="257" t="s">
        <v>469</v>
      </c>
      <c r="C263" s="175" t="s">
        <v>91</v>
      </c>
      <c r="D263" s="219">
        <v>1.0</v>
      </c>
      <c r="E263" s="132" t="str">
        <f>DEC2HEX(((D263)*2^4),8)</f>
        <v>00000010</v>
      </c>
      <c r="F263" s="302" t="s">
        <v>470</v>
      </c>
      <c r="G263" s="259"/>
      <c r="H263" s="60"/>
      <c r="I263" s="164"/>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ht="12.0" customHeight="1">
      <c r="A264" s="1"/>
      <c r="B264" s="257" t="s">
        <v>471</v>
      </c>
      <c r="C264" s="175" t="s">
        <v>91</v>
      </c>
      <c r="D264" s="130">
        <v>0.0</v>
      </c>
      <c r="E264" s="132" t="str">
        <f>DEC2HEX(((D264)*2^2),8)</f>
        <v>00000000</v>
      </c>
      <c r="F264" s="302" t="s">
        <v>472</v>
      </c>
      <c r="G264" s="259"/>
      <c r="H264" s="60"/>
      <c r="I264" s="164"/>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ht="12.0" customHeight="1">
      <c r="A265" s="1"/>
      <c r="B265" s="304" t="s">
        <v>473</v>
      </c>
      <c r="C265" s="240" t="s">
        <v>91</v>
      </c>
      <c r="D265" s="130">
        <v>0.0</v>
      </c>
      <c r="E265" s="132" t="str">
        <f>DEC2HEX(((D265)*2^1),8)</f>
        <v>00000000</v>
      </c>
      <c r="F265" s="302" t="s">
        <v>474</v>
      </c>
      <c r="G265" s="259"/>
      <c r="H265" s="60"/>
      <c r="I265" s="164"/>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ht="12.0" customHeight="1">
      <c r="A266" s="1"/>
      <c r="B266" s="261" t="s">
        <v>475</v>
      </c>
      <c r="C266" s="178" t="s">
        <v>91</v>
      </c>
      <c r="D266" s="311">
        <v>0.0</v>
      </c>
      <c r="E266" s="136" t="str">
        <f>DEC2HEX(((D266)*2^0),8)</f>
        <v>00000000</v>
      </c>
      <c r="F266" s="308" t="s">
        <v>476</v>
      </c>
      <c r="G266" s="49"/>
      <c r="H266" s="140"/>
      <c r="I266" s="50"/>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ht="12.0" customHeight="1">
      <c r="A267" s="1"/>
      <c r="B267" s="1"/>
      <c r="C267" s="109"/>
      <c r="D267" s="134"/>
      <c r="E267" s="109"/>
      <c r="F267" s="4"/>
      <c r="G267" s="134"/>
      <c r="H267" s="134"/>
      <c r="I267" s="134"/>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ht="12.0" customHeight="1">
      <c r="A268" s="1"/>
      <c r="B268" s="109"/>
      <c r="C268" s="109"/>
      <c r="D268" s="109"/>
      <c r="E268" s="142"/>
      <c r="F268" s="151"/>
      <c r="G268" s="142"/>
      <c r="H268" s="142"/>
      <c r="I268" s="142"/>
      <c r="J268" s="134"/>
      <c r="K268" s="1"/>
      <c r="L268" s="1"/>
      <c r="M268" s="1"/>
      <c r="N268" s="1"/>
      <c r="O268" s="1"/>
      <c r="P268" s="1"/>
      <c r="Q268" s="1"/>
      <c r="R268" s="1"/>
      <c r="S268" s="1"/>
      <c r="T268" s="1"/>
      <c r="U268" s="1"/>
      <c r="V268" s="1"/>
    </row>
    <row r="269" ht="12.0" customHeight="1">
      <c r="A269" s="1"/>
      <c r="B269" s="202" t="s">
        <v>477</v>
      </c>
      <c r="C269" s="153"/>
      <c r="D269" s="153"/>
      <c r="E269" s="153"/>
      <c r="F269" s="153"/>
      <c r="G269" s="153"/>
      <c r="H269" s="153"/>
      <c r="I269" s="73"/>
      <c r="J269" s="134"/>
      <c r="K269" s="1"/>
      <c r="L269" s="26"/>
      <c r="M269" s="26"/>
      <c r="N269" s="1"/>
      <c r="O269" s="1"/>
      <c r="P269" s="1"/>
      <c r="Q269" s="1"/>
      <c r="R269" s="1"/>
      <c r="S269" s="1"/>
      <c r="T269" s="1"/>
      <c r="U269" s="1"/>
      <c r="V269" s="1"/>
    </row>
    <row r="270" ht="4.5" customHeight="1">
      <c r="A270" s="26"/>
      <c r="B270" s="115"/>
      <c r="C270" s="115"/>
      <c r="D270" s="115"/>
      <c r="E270" s="115"/>
      <c r="F270" s="115"/>
      <c r="G270" s="115"/>
      <c r="H270" s="115"/>
      <c r="I270" s="115"/>
      <c r="J270" s="142"/>
      <c r="K270" s="26"/>
      <c r="L270" s="1"/>
      <c r="M270" s="1"/>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row>
    <row r="271" ht="12.0" customHeight="1">
      <c r="A271" s="1"/>
      <c r="B271" s="111" t="s">
        <v>168</v>
      </c>
      <c r="C271" s="111" t="s">
        <v>226</v>
      </c>
      <c r="D271" s="210" t="s">
        <v>478</v>
      </c>
      <c r="E271" s="111" t="s">
        <v>85</v>
      </c>
      <c r="F271" s="112" t="s">
        <v>86</v>
      </c>
      <c r="G271" s="113" t="s">
        <v>87</v>
      </c>
      <c r="H271" s="111" t="s">
        <v>171</v>
      </c>
      <c r="I271" s="111" t="s">
        <v>89</v>
      </c>
      <c r="J271" s="1"/>
      <c r="K271" s="1"/>
      <c r="L271" s="1"/>
      <c r="M271" s="1"/>
      <c r="N271" s="1"/>
      <c r="O271" s="1"/>
      <c r="P271" s="1"/>
      <c r="Q271" s="1"/>
      <c r="R271" s="1"/>
      <c r="S271" s="1"/>
      <c r="T271" s="1"/>
      <c r="U271" s="1"/>
      <c r="V271" s="1"/>
    </row>
    <row r="272" ht="12.0" customHeight="1">
      <c r="A272" s="1"/>
      <c r="B272" s="116" t="s">
        <v>479</v>
      </c>
      <c r="C272" s="119"/>
      <c r="D272" s="133">
        <f>IF(C29&lt;800, 3, 4)</f>
        <v>4</v>
      </c>
      <c r="E272" s="154" t="str">
        <f>DEC2HEX(((D272)*2^24),8)</f>
        <v>04000000</v>
      </c>
      <c r="F272" s="184" t="s">
        <v>480</v>
      </c>
      <c r="G272" s="156" t="s">
        <v>481</v>
      </c>
      <c r="H272" s="156" t="str">
        <f>"0x"&amp;DEC2HEX((HEX2DEC(C35)+400), 8)</f>
        <v>0x3D400190</v>
      </c>
      <c r="I272" s="157" t="str">
        <f>"0x"&amp;DEC2HEX((HEX2DEC(E272)+HEX2DEC(E273)+HEX2DEC(E274)+HEX2DEC(E275)+HEX2DEC(E276)+HEX2DEC(E277) ), 8)</f>
        <v>0x049F820E</v>
      </c>
      <c r="J272" s="1"/>
      <c r="K272" s="1"/>
      <c r="L272" s="1"/>
      <c r="M272" s="1"/>
      <c r="N272" s="1"/>
      <c r="O272" s="1"/>
      <c r="P272" s="1"/>
      <c r="Q272" s="1"/>
      <c r="R272" s="1"/>
      <c r="S272" s="1"/>
      <c r="T272" s="1"/>
      <c r="U272" s="1"/>
      <c r="V272" s="1"/>
    </row>
    <row r="273" ht="106.5" customHeight="1">
      <c r="A273" s="1"/>
      <c r="B273" s="128" t="s">
        <v>482</v>
      </c>
      <c r="C273" s="132"/>
      <c r="D273" s="132">
        <v>1.0</v>
      </c>
      <c r="E273" s="130" t="str">
        <f>DEC2HEX(((D273)*2^23),8)</f>
        <v>00800000</v>
      </c>
      <c r="F273" s="187" t="s">
        <v>483</v>
      </c>
      <c r="G273" s="60"/>
      <c r="H273" s="60"/>
      <c r="I273" s="164"/>
      <c r="J273" s="1"/>
      <c r="K273" s="1"/>
      <c r="L273" s="1"/>
      <c r="M273" s="1"/>
      <c r="N273" s="1"/>
      <c r="O273" s="1"/>
      <c r="P273" s="1"/>
      <c r="Q273" s="1"/>
      <c r="R273" s="1"/>
      <c r="S273" s="1"/>
      <c r="T273" s="1"/>
      <c r="U273" s="1"/>
      <c r="V273" s="1"/>
    </row>
    <row r="274" ht="12.0" customHeight="1">
      <c r="A274" s="1"/>
      <c r="B274" s="128" t="s">
        <v>484</v>
      </c>
      <c r="C274" s="132"/>
      <c r="D274" s="133">
        <f>(C128 - 5)</f>
        <v>31</v>
      </c>
      <c r="E274" s="130" t="str">
        <f>DEC2HEX(((D274)*2^16),8)</f>
        <v>001F0000</v>
      </c>
      <c r="F274" s="242" t="s">
        <v>485</v>
      </c>
      <c r="G274" s="60"/>
      <c r="H274" s="60"/>
      <c r="I274" s="164"/>
      <c r="J274" s="312"/>
      <c r="K274" s="1"/>
      <c r="L274" s="1"/>
      <c r="M274" s="1"/>
      <c r="N274" s="1"/>
      <c r="O274" s="1"/>
      <c r="P274" s="1"/>
      <c r="Q274" s="1"/>
      <c r="R274" s="1"/>
      <c r="S274" s="1"/>
      <c r="T274" s="1"/>
      <c r="U274" s="1"/>
      <c r="V274" s="1"/>
    </row>
    <row r="275" ht="12.0" customHeight="1">
      <c r="A275" s="1"/>
      <c r="B275" s="128" t="s">
        <v>486</v>
      </c>
      <c r="C275" s="132"/>
      <c r="D275" s="132">
        <v>1.0</v>
      </c>
      <c r="E275" s="130" t="str">
        <f>DEC2HEX(((D275)*2^15),8)</f>
        <v>00008000</v>
      </c>
      <c r="F275" s="242" t="s">
        <v>487</v>
      </c>
      <c r="G275" s="60"/>
      <c r="H275" s="60"/>
      <c r="I275" s="164"/>
      <c r="J275" s="1"/>
      <c r="K275" s="1"/>
      <c r="L275" s="1"/>
      <c r="M275" s="1"/>
      <c r="N275" s="1"/>
      <c r="O275" s="1"/>
      <c r="P275" s="1"/>
      <c r="Q275" s="1"/>
      <c r="R275" s="1"/>
      <c r="S275" s="1"/>
      <c r="T275" s="1"/>
      <c r="U275" s="1"/>
      <c r="V275" s="1"/>
    </row>
    <row r="276" ht="100.5" customHeight="1">
      <c r="A276" s="1"/>
      <c r="B276" s="162" t="s">
        <v>488</v>
      </c>
      <c r="C276" s="132"/>
      <c r="D276" s="132">
        <v>2.0</v>
      </c>
      <c r="E276" s="130" t="str">
        <f>DEC2HEX(((D276)*2^8),8)</f>
        <v>00000200</v>
      </c>
      <c r="F276" s="242" t="s">
        <v>489</v>
      </c>
      <c r="G276" s="60"/>
      <c r="H276" s="60"/>
      <c r="I276" s="164"/>
      <c r="J276" s="1"/>
      <c r="K276" s="1"/>
      <c r="L276" s="1"/>
      <c r="M276" s="1"/>
      <c r="N276" s="1"/>
      <c r="O276" s="1"/>
      <c r="P276" s="1"/>
      <c r="Q276" s="1"/>
      <c r="R276" s="1"/>
      <c r="S276" s="1"/>
      <c r="T276" s="1"/>
      <c r="U276" s="1"/>
      <c r="V276" s="1"/>
    </row>
    <row r="277" ht="12.0" customHeight="1">
      <c r="A277" s="1"/>
      <c r="B277" s="135" t="s">
        <v>490</v>
      </c>
      <c r="C277" s="136"/>
      <c r="D277" s="171">
        <f>C127+1-5</f>
        <v>14</v>
      </c>
      <c r="E277" s="138" t="str">
        <f>DEC2HEX(((D277)*2^0),8)</f>
        <v>0000000E</v>
      </c>
      <c r="F277" s="190" t="s">
        <v>491</v>
      </c>
      <c r="G277" s="140"/>
      <c r="H277" s="140"/>
      <c r="I277" s="50"/>
      <c r="J277" s="312"/>
      <c r="K277" s="1"/>
      <c r="L277" s="1"/>
      <c r="M277" s="1"/>
      <c r="N277" s="1"/>
      <c r="O277" s="1"/>
      <c r="P277" s="1"/>
      <c r="Q277" s="1"/>
      <c r="R277" s="1"/>
      <c r="S277" s="1"/>
      <c r="T277" s="1"/>
      <c r="U277" s="1"/>
      <c r="V277" s="1"/>
    </row>
    <row r="278" ht="6.75" customHeight="1">
      <c r="A278" s="1"/>
      <c r="B278" s="159"/>
      <c r="C278" s="159"/>
      <c r="D278" s="159"/>
      <c r="E278" s="160"/>
      <c r="F278" s="151"/>
      <c r="G278" s="142"/>
      <c r="H278" s="142"/>
      <c r="I278" s="142"/>
      <c r="J278" s="1"/>
      <c r="K278" s="1"/>
      <c r="L278" s="1"/>
      <c r="M278" s="1"/>
      <c r="N278" s="1"/>
      <c r="O278" s="1"/>
      <c r="P278" s="1"/>
      <c r="Q278" s="1"/>
      <c r="R278" s="1"/>
      <c r="S278" s="1"/>
      <c r="T278" s="1"/>
      <c r="U278" s="1"/>
      <c r="V278" s="1"/>
    </row>
    <row r="279" ht="12.0" customHeight="1">
      <c r="A279" s="1"/>
      <c r="B279" s="116" t="s">
        <v>492</v>
      </c>
      <c r="C279" s="119" t="s">
        <v>91</v>
      </c>
      <c r="D279" s="119">
        <v>0.0</v>
      </c>
      <c r="E279" s="154" t="str">
        <f>DEC2HEX(((D279)*2^28),8)</f>
        <v>00000000</v>
      </c>
      <c r="F279" s="184" t="s">
        <v>493</v>
      </c>
      <c r="G279" s="156" t="s">
        <v>494</v>
      </c>
      <c r="H279" s="156" t="str">
        <f>"0x"&amp;DEC2HEX((HEX2DEC(C35)+404), 8)</f>
        <v>0x3D400194</v>
      </c>
      <c r="I279" s="157" t="str">
        <f>"0x"&amp;DEC2HEX((HEX2DEC(E279)+HEX2DEC(E280)+HEX2DEC(E281)+HEX2DEC(E282)+HEX2DEC(E283)), 8)</f>
        <v>0x00080303</v>
      </c>
      <c r="J279" s="1"/>
      <c r="K279" s="1"/>
      <c r="L279" s="1"/>
      <c r="M279" s="1"/>
      <c r="N279" s="1"/>
      <c r="O279" s="1"/>
      <c r="P279" s="1"/>
      <c r="Q279" s="1"/>
      <c r="R279" s="1"/>
      <c r="S279" s="1"/>
      <c r="T279" s="1"/>
      <c r="U279" s="1"/>
      <c r="V279" s="1"/>
    </row>
    <row r="280" ht="12.0" customHeight="1">
      <c r="A280" s="1"/>
      <c r="B280" s="128" t="s">
        <v>495</v>
      </c>
      <c r="C280" s="132" t="s">
        <v>91</v>
      </c>
      <c r="D280" s="132">
        <v>0.0</v>
      </c>
      <c r="E280" s="130" t="str">
        <f>DEC2HEX(((D280)*2^24),8)</f>
        <v>00000000</v>
      </c>
      <c r="F280" s="187" t="s">
        <v>496</v>
      </c>
      <c r="G280" s="60"/>
      <c r="H280" s="60"/>
      <c r="I280" s="164"/>
      <c r="J280" s="1"/>
      <c r="K280" s="1"/>
      <c r="L280" s="1"/>
      <c r="M280" s="1"/>
      <c r="N280" s="1"/>
      <c r="O280" s="1"/>
      <c r="P280" s="1"/>
      <c r="Q280" s="1"/>
      <c r="R280" s="1"/>
      <c r="S280" s="1"/>
      <c r="T280" s="1"/>
      <c r="U280" s="1"/>
      <c r="V280" s="1"/>
    </row>
    <row r="281" ht="12.0" customHeight="1">
      <c r="A281" s="1"/>
      <c r="B281" s="128" t="s">
        <v>497</v>
      </c>
      <c r="C281" s="132" t="s">
        <v>91</v>
      </c>
      <c r="D281" s="133">
        <f>ROUNDUP((6 + D48 + D275)/2, 0)</f>
        <v>8</v>
      </c>
      <c r="E281" s="130" t="str">
        <f>DEC2HEX(((D281)*2^16),8)</f>
        <v>00080000</v>
      </c>
      <c r="F281" s="242" t="s">
        <v>498</v>
      </c>
      <c r="G281" s="60"/>
      <c r="H281" s="60"/>
      <c r="I281" s="164"/>
      <c r="J281" s="1"/>
      <c r="K281" s="1"/>
      <c r="L281" s="1"/>
      <c r="M281" s="1"/>
      <c r="N281" s="1"/>
      <c r="O281" s="1"/>
      <c r="P281" s="1"/>
      <c r="Q281" s="1"/>
      <c r="R281" s="1"/>
      <c r="S281" s="1"/>
      <c r="T281" s="1"/>
      <c r="U281" s="1"/>
      <c r="V281" s="1"/>
    </row>
    <row r="282" ht="91.5" customHeight="1">
      <c r="A282" s="1"/>
      <c r="B282" s="128" t="s">
        <v>499</v>
      </c>
      <c r="C282" s="132" t="s">
        <v>91</v>
      </c>
      <c r="D282" s="132">
        <v>3.0</v>
      </c>
      <c r="E282" s="130" t="str">
        <f>DEC2HEX(((D282)*2^8),8)</f>
        <v>00000300</v>
      </c>
      <c r="F282" s="242" t="s">
        <v>500</v>
      </c>
      <c r="G282" s="60"/>
      <c r="H282" s="60"/>
      <c r="I282" s="164"/>
      <c r="J282" s="1"/>
      <c r="K282" s="1"/>
      <c r="L282" s="1"/>
      <c r="M282" s="1"/>
      <c r="N282" s="1"/>
      <c r="O282" s="1"/>
      <c r="P282" s="1"/>
      <c r="Q282" s="1"/>
      <c r="R282" s="1"/>
      <c r="S282" s="1"/>
      <c r="T282" s="1"/>
      <c r="U282" s="1"/>
      <c r="V282" s="1"/>
    </row>
    <row r="283" ht="96.75" customHeight="1">
      <c r="A283" s="1"/>
      <c r="B283" s="135" t="s">
        <v>501</v>
      </c>
      <c r="C283" s="136" t="s">
        <v>91</v>
      </c>
      <c r="D283" s="136">
        <v>3.0</v>
      </c>
      <c r="E283" s="138" t="str">
        <f>DEC2HEX(((D283)*2^0),8)</f>
        <v>00000003</v>
      </c>
      <c r="F283" s="190" t="s">
        <v>502</v>
      </c>
      <c r="G283" s="140"/>
      <c r="H283" s="140"/>
      <c r="I283" s="50"/>
      <c r="J283" s="1"/>
      <c r="K283" s="1"/>
      <c r="L283" s="1"/>
      <c r="M283" s="1"/>
      <c r="N283" s="1"/>
      <c r="O283" s="1"/>
      <c r="P283" s="1"/>
      <c r="Q283" s="1"/>
      <c r="R283" s="1"/>
      <c r="S283" s="1"/>
      <c r="T283" s="1"/>
      <c r="U283" s="1"/>
      <c r="V283" s="1"/>
    </row>
    <row r="284" ht="8.25" customHeight="1">
      <c r="A284" s="1"/>
      <c r="B284" s="109"/>
      <c r="C284" s="109"/>
      <c r="D284" s="109"/>
      <c r="E284" s="142"/>
      <c r="F284" s="151"/>
      <c r="G284" s="142"/>
      <c r="H284" s="142"/>
      <c r="I284" s="142"/>
      <c r="J284" s="1"/>
      <c r="K284" s="1"/>
      <c r="L284" s="1"/>
      <c r="M284" s="1"/>
      <c r="N284" s="1"/>
      <c r="O284" s="1"/>
      <c r="P284" s="1"/>
      <c r="Q284" s="1"/>
      <c r="R284" s="1"/>
      <c r="S284" s="1"/>
      <c r="T284" s="1"/>
      <c r="U284" s="1"/>
      <c r="V284" s="1"/>
    </row>
    <row r="285" ht="12.0" customHeight="1">
      <c r="A285" s="313"/>
      <c r="B285" s="116" t="s">
        <v>503</v>
      </c>
      <c r="C285" s="117" t="s">
        <v>91</v>
      </c>
      <c r="D285" s="168">
        <f>(C128 - 5)</f>
        <v>31</v>
      </c>
      <c r="E285" s="154" t="str">
        <f>DEC2HEX(((D285)*2^8),8)</f>
        <v>00001F00</v>
      </c>
      <c r="F285" s="184" t="s">
        <v>504</v>
      </c>
      <c r="G285" s="156" t="s">
        <v>505</v>
      </c>
      <c r="H285" s="156" t="str">
        <f>"0x"&amp;DEC2HEX((HEX2DEC(C35)+436), 8)</f>
        <v>0x3D4001B4</v>
      </c>
      <c r="I285" s="157" t="str">
        <f>"0x"&amp;DEC2HEX((HEX2DEC(E285)+HEX2DEC(E286)), 8)</f>
        <v>0x00001F0E</v>
      </c>
      <c r="J285" s="1"/>
      <c r="K285" s="1"/>
      <c r="L285" s="1"/>
      <c r="M285" s="1"/>
      <c r="N285" s="1"/>
      <c r="O285" s="1"/>
      <c r="P285" s="1"/>
      <c r="Q285" s="1"/>
      <c r="R285" s="1"/>
      <c r="S285" s="1"/>
      <c r="T285" s="1"/>
      <c r="U285" s="1"/>
      <c r="V285" s="1"/>
    </row>
    <row r="286" ht="12.0" customHeight="1">
      <c r="A286" s="313"/>
      <c r="B286" s="135" t="s">
        <v>506</v>
      </c>
      <c r="C286" s="178" t="s">
        <v>91</v>
      </c>
      <c r="D286" s="171">
        <f>(C127+1-5)</f>
        <v>14</v>
      </c>
      <c r="E286" s="138" t="str">
        <f>DEC2HEX(((D286)*2^0),8)</f>
        <v>0000000E</v>
      </c>
      <c r="F286" s="190" t="s">
        <v>507</v>
      </c>
      <c r="G286" s="140"/>
      <c r="H286" s="140"/>
      <c r="I286" s="50"/>
      <c r="J286" s="1"/>
      <c r="K286" s="1"/>
      <c r="L286" s="1"/>
      <c r="M286" s="1"/>
      <c r="N286" s="1"/>
      <c r="O286" s="1"/>
      <c r="P286" s="1"/>
      <c r="Q286" s="1"/>
      <c r="R286" s="1"/>
      <c r="S286" s="1"/>
      <c r="T286" s="1"/>
      <c r="U286" s="1"/>
      <c r="V286" s="1"/>
    </row>
    <row r="287" ht="9.0" customHeight="1">
      <c r="A287" s="1"/>
      <c r="B287" s="109"/>
      <c r="C287" s="109"/>
      <c r="D287" s="109"/>
      <c r="E287" s="142"/>
      <c r="F287" s="151"/>
      <c r="G287" s="142"/>
      <c r="H287" s="142"/>
      <c r="I287" s="142"/>
      <c r="J287" s="1"/>
      <c r="K287" s="1"/>
      <c r="L287" s="1"/>
      <c r="M287" s="1"/>
      <c r="N287" s="1"/>
      <c r="O287" s="1"/>
      <c r="P287" s="1"/>
      <c r="Q287" s="1"/>
      <c r="R287" s="1"/>
      <c r="S287" s="1"/>
      <c r="T287" s="1"/>
      <c r="U287" s="1"/>
      <c r="V287" s="1"/>
    </row>
    <row r="288" ht="12.0" customHeight="1">
      <c r="A288" s="1"/>
      <c r="B288" s="116" t="s">
        <v>508</v>
      </c>
      <c r="C288" s="117" t="s">
        <v>91</v>
      </c>
      <c r="D288" s="119">
        <v>1.0</v>
      </c>
      <c r="E288" s="154" t="str">
        <f>DEC2HEX(((D288)*2^4),8)</f>
        <v>00000010</v>
      </c>
      <c r="F288" s="184" t="s">
        <v>509</v>
      </c>
      <c r="G288" s="156" t="s">
        <v>510</v>
      </c>
      <c r="H288" s="156" t="str">
        <f>"0x"&amp;DEC2HEX((HEX2DEC(C35)+432), 8)</f>
        <v>0x3D4001B0</v>
      </c>
      <c r="I288" s="157" t="str">
        <f>"0x"&amp;DEC2HEX((HEX2DEC(E289)+HEX2DEC(E290)+HEX2DEC(E291)+HEX2DEC(E288)), 8)</f>
        <v>0x00000011</v>
      </c>
      <c r="J288" s="1"/>
      <c r="K288" s="1"/>
      <c r="L288" s="1"/>
      <c r="M288" s="1"/>
      <c r="N288" s="1"/>
      <c r="O288" s="1"/>
      <c r="P288" s="1"/>
      <c r="Q288" s="1"/>
      <c r="R288" s="1"/>
      <c r="S288" s="1"/>
      <c r="T288" s="1"/>
      <c r="U288" s="1"/>
      <c r="V288" s="1"/>
    </row>
    <row r="289" ht="12.0" customHeight="1">
      <c r="A289" s="1"/>
      <c r="B289" s="128" t="s">
        <v>511</v>
      </c>
      <c r="C289" s="175" t="s">
        <v>91</v>
      </c>
      <c r="D289" s="132">
        <v>0.0</v>
      </c>
      <c r="E289" s="130" t="str">
        <f>DEC2HEX(((D289)*2^2),8)</f>
        <v>00000000</v>
      </c>
      <c r="F289" s="187" t="s">
        <v>512</v>
      </c>
      <c r="G289" s="60"/>
      <c r="H289" s="60"/>
      <c r="I289" s="164"/>
      <c r="J289" s="314"/>
      <c r="K289" s="315"/>
      <c r="L289" s="1"/>
      <c r="M289" s="1"/>
      <c r="N289" s="1"/>
      <c r="O289" s="1"/>
      <c r="P289" s="1"/>
      <c r="Q289" s="1"/>
      <c r="R289" s="1"/>
      <c r="S289" s="1"/>
      <c r="T289" s="1"/>
      <c r="U289" s="1"/>
      <c r="V289" s="1"/>
    </row>
    <row r="290" ht="12.0" customHeight="1">
      <c r="A290" s="1"/>
      <c r="B290" s="128" t="s">
        <v>513</v>
      </c>
      <c r="C290" s="175" t="s">
        <v>91</v>
      </c>
      <c r="D290" s="132">
        <v>0.0</v>
      </c>
      <c r="E290" s="130" t="str">
        <f>DEC2HEX(((D290)*2^1),8)</f>
        <v>00000000</v>
      </c>
      <c r="F290" s="187" t="s">
        <v>514</v>
      </c>
      <c r="G290" s="60"/>
      <c r="H290" s="60"/>
      <c r="I290" s="164"/>
      <c r="J290" s="316"/>
      <c r="K290" s="316"/>
      <c r="L290" s="1"/>
      <c r="M290" s="1"/>
      <c r="N290" s="1"/>
      <c r="O290" s="1"/>
      <c r="P290" s="1"/>
      <c r="Q290" s="1"/>
      <c r="R290" s="1"/>
      <c r="S290" s="1"/>
      <c r="T290" s="1"/>
      <c r="U290" s="1"/>
      <c r="V290" s="1"/>
    </row>
    <row r="291" ht="12.0" customHeight="1">
      <c r="A291" s="1"/>
      <c r="B291" s="135" t="s">
        <v>515</v>
      </c>
      <c r="C291" s="178" t="s">
        <v>91</v>
      </c>
      <c r="D291" s="136">
        <v>1.0</v>
      </c>
      <c r="E291" s="138" t="str">
        <f>DEC2HEX(((D291)*2^0),8)</f>
        <v>00000001</v>
      </c>
      <c r="F291" s="190" t="s">
        <v>516</v>
      </c>
      <c r="G291" s="140"/>
      <c r="H291" s="140"/>
      <c r="I291" s="50"/>
      <c r="J291" s="317"/>
      <c r="K291" s="317"/>
      <c r="L291" s="1"/>
      <c r="M291" s="1"/>
      <c r="N291" s="1"/>
      <c r="O291" s="1"/>
      <c r="P291" s="1"/>
      <c r="Q291" s="1"/>
      <c r="R291" s="1"/>
      <c r="S291" s="1"/>
      <c r="T291" s="1"/>
      <c r="U291" s="1"/>
      <c r="V291" s="1"/>
    </row>
    <row r="292" ht="6.75" customHeight="1">
      <c r="A292" s="1"/>
      <c r="B292" s="159"/>
      <c r="C292" s="159"/>
      <c r="D292" s="159"/>
      <c r="E292" s="160"/>
      <c r="F292" s="151"/>
      <c r="G292" s="142"/>
      <c r="H292" s="142"/>
      <c r="I292" s="142"/>
      <c r="J292" s="1"/>
      <c r="K292" s="1"/>
      <c r="L292" s="1"/>
      <c r="M292" s="1"/>
      <c r="N292" s="1"/>
      <c r="O292" s="1"/>
      <c r="P292" s="1"/>
      <c r="Q292" s="1"/>
      <c r="R292" s="1"/>
      <c r="S292" s="1"/>
      <c r="T292" s="1"/>
      <c r="U292" s="1"/>
      <c r="V292" s="1"/>
    </row>
    <row r="293" ht="12.0" customHeight="1">
      <c r="A293" s="1"/>
      <c r="B293" s="116" t="s">
        <v>517</v>
      </c>
      <c r="C293" s="119" t="s">
        <v>91</v>
      </c>
      <c r="D293" s="119">
        <v>1.0</v>
      </c>
      <c r="E293" s="154" t="str">
        <f>DEC2HEX(((D293)*2^31),8)</f>
        <v>80000000</v>
      </c>
      <c r="F293" s="155" t="s">
        <v>518</v>
      </c>
      <c r="G293" s="156" t="s">
        <v>519</v>
      </c>
      <c r="H293" s="156" t="str">
        <f>"0x"&amp;DEC2HEX((HEX2DEC(C35)+416), 8)</f>
        <v>0x3D4001A0</v>
      </c>
      <c r="I293" s="157" t="str">
        <f>"0x"&amp;DEC2HEX((HEX2DEC(E293)+HEX2DEC(E294)+HEX2DEC(E295)+HEX2DEC(E296)+HEX2DEC(E297)), 8)</f>
        <v>0xE0400018</v>
      </c>
      <c r="J293" s="1"/>
      <c r="K293" s="1"/>
      <c r="L293" s="1"/>
      <c r="M293" s="1"/>
      <c r="N293" s="1"/>
      <c r="O293" s="1"/>
      <c r="P293" s="1"/>
      <c r="Q293" s="1"/>
      <c r="R293" s="1"/>
      <c r="S293" s="1"/>
      <c r="T293" s="1"/>
      <c r="U293" s="1"/>
      <c r="V293" s="1"/>
    </row>
    <row r="294" ht="12.0" customHeight="1">
      <c r="A294" s="1"/>
      <c r="B294" s="128" t="s">
        <v>520</v>
      </c>
      <c r="C294" s="132" t="s">
        <v>91</v>
      </c>
      <c r="D294" s="132">
        <v>1.0</v>
      </c>
      <c r="E294" s="130" t="str">
        <f>DEC2HEX(((D294)*2^30),8)</f>
        <v>40000000</v>
      </c>
      <c r="F294" s="187" t="s">
        <v>521</v>
      </c>
      <c r="G294" s="60"/>
      <c r="H294" s="60"/>
      <c r="I294" s="164"/>
      <c r="J294" s="1"/>
      <c r="K294" s="1"/>
      <c r="L294" s="1"/>
      <c r="M294" s="1"/>
      <c r="N294" s="1"/>
      <c r="O294" s="1"/>
      <c r="P294" s="1"/>
      <c r="Q294" s="1"/>
      <c r="R294" s="1"/>
      <c r="S294" s="1"/>
      <c r="T294" s="1"/>
      <c r="U294" s="1"/>
      <c r="V294" s="1"/>
    </row>
    <row r="295" ht="12.0" customHeight="1">
      <c r="A295" s="1"/>
      <c r="B295" s="128" t="s">
        <v>522</v>
      </c>
      <c r="C295" s="132" t="s">
        <v>91</v>
      </c>
      <c r="D295" s="132">
        <v>1.0</v>
      </c>
      <c r="E295" s="130" t="str">
        <f>DEC2HEX(((D295)*2^29),8)</f>
        <v>20000000</v>
      </c>
      <c r="F295" s="163" t="s">
        <v>523</v>
      </c>
      <c r="G295" s="60"/>
      <c r="H295" s="60"/>
      <c r="I295" s="164"/>
      <c r="J295" s="1"/>
      <c r="K295" s="1"/>
      <c r="L295" s="1"/>
      <c r="M295" s="1"/>
      <c r="N295" s="1"/>
      <c r="O295" s="1"/>
      <c r="P295" s="1"/>
      <c r="Q295" s="1"/>
      <c r="R295" s="1"/>
      <c r="S295" s="1"/>
      <c r="T295" s="1"/>
      <c r="U295" s="1"/>
      <c r="V295" s="1"/>
    </row>
    <row r="296" ht="12.0" customHeight="1">
      <c r="A296" s="1"/>
      <c r="B296" s="162" t="s">
        <v>524</v>
      </c>
      <c r="C296" s="132" t="s">
        <v>91</v>
      </c>
      <c r="D296" s="132">
        <v>64.0</v>
      </c>
      <c r="E296" s="130" t="str">
        <f>DEC2HEX(((D296)*2^16),8)</f>
        <v>00400000</v>
      </c>
      <c r="F296" s="242" t="s">
        <v>525</v>
      </c>
      <c r="G296" s="60"/>
      <c r="H296" s="60"/>
      <c r="I296" s="164"/>
      <c r="J296" s="1"/>
      <c r="K296" s="1"/>
      <c r="L296" s="1"/>
      <c r="M296" s="1"/>
      <c r="N296" s="1"/>
      <c r="O296" s="1"/>
      <c r="P296" s="1"/>
      <c r="Q296" s="1"/>
      <c r="R296" s="1"/>
      <c r="S296" s="1"/>
      <c r="T296" s="1"/>
      <c r="U296" s="1"/>
      <c r="V296" s="1"/>
    </row>
    <row r="297" ht="105.75" customHeight="1">
      <c r="A297" s="1"/>
      <c r="B297" s="135" t="s">
        <v>526</v>
      </c>
      <c r="C297" s="136" t="s">
        <v>91</v>
      </c>
      <c r="D297" s="136">
        <v>24.0</v>
      </c>
      <c r="E297" s="138" t="str">
        <f>DEC2HEX(((D297)*2^0),8)</f>
        <v>00000018</v>
      </c>
      <c r="F297" s="190" t="s">
        <v>527</v>
      </c>
      <c r="G297" s="140"/>
      <c r="H297" s="140"/>
      <c r="I297" s="50"/>
      <c r="J297" s="1"/>
      <c r="K297" s="1"/>
      <c r="L297" s="1"/>
      <c r="M297" s="1"/>
      <c r="N297" s="1"/>
      <c r="O297" s="1"/>
      <c r="P297" s="1"/>
      <c r="Q297" s="1"/>
      <c r="R297" s="1"/>
      <c r="S297" s="1"/>
      <c r="T297" s="1"/>
      <c r="U297" s="1"/>
      <c r="V297" s="1"/>
    </row>
    <row r="298" ht="6.0" customHeight="1">
      <c r="A298" s="1"/>
      <c r="B298" s="159"/>
      <c r="C298" s="159"/>
      <c r="D298" s="159"/>
      <c r="E298" s="160"/>
      <c r="F298" s="151"/>
      <c r="G298" s="142"/>
      <c r="H298" s="142"/>
      <c r="I298" s="142"/>
      <c r="J298" s="1"/>
      <c r="K298" s="1"/>
      <c r="L298" s="1"/>
      <c r="M298" s="1"/>
      <c r="N298" s="1"/>
      <c r="O298" s="1"/>
      <c r="P298" s="1"/>
      <c r="Q298" s="1"/>
      <c r="R298" s="1"/>
      <c r="S298" s="1"/>
      <c r="T298" s="1"/>
      <c r="U298" s="1"/>
      <c r="V298" s="1"/>
    </row>
    <row r="299" ht="12.0" customHeight="1">
      <c r="A299" s="1"/>
      <c r="B299" s="116" t="s">
        <v>528</v>
      </c>
      <c r="C299" s="119" t="s">
        <v>91</v>
      </c>
      <c r="D299" s="119">
        <v>223.0</v>
      </c>
      <c r="E299" s="154" t="str">
        <f>DEC2HEX(((D299)*2^16),8)</f>
        <v>00DF0000</v>
      </c>
      <c r="F299" s="184" t="s">
        <v>529</v>
      </c>
      <c r="G299" s="156" t="s">
        <v>530</v>
      </c>
      <c r="H299" s="156" t="str">
        <f>"0x"&amp;DEC2HEX((HEX2DEC(C35)+420), 8)</f>
        <v>0x3D4001A4</v>
      </c>
      <c r="I299" s="157" t="str">
        <f>"0x"&amp;DEC2HEX((HEX2DEC(E299)+HEX2DEC(E300)), 8)</f>
        <v>0x00DF00E4</v>
      </c>
      <c r="J299" s="1"/>
      <c r="K299" s="1"/>
      <c r="L299" s="1"/>
      <c r="M299" s="1"/>
      <c r="N299" s="1"/>
      <c r="O299" s="1"/>
      <c r="P299" s="1"/>
      <c r="Q299" s="1"/>
      <c r="R299" s="1"/>
      <c r="S299" s="1"/>
      <c r="T299" s="1"/>
      <c r="U299" s="1"/>
      <c r="V299" s="1"/>
    </row>
    <row r="300" ht="12.0" customHeight="1">
      <c r="A300" s="1"/>
      <c r="B300" s="135" t="s">
        <v>531</v>
      </c>
      <c r="C300" s="136" t="s">
        <v>91</v>
      </c>
      <c r="D300" s="136">
        <v>228.0</v>
      </c>
      <c r="E300" s="138" t="str">
        <f>DEC2HEX(((D300)*2^0),8)</f>
        <v>000000E4</v>
      </c>
      <c r="F300" s="190" t="s">
        <v>532</v>
      </c>
      <c r="G300" s="140"/>
      <c r="H300" s="140"/>
      <c r="I300" s="50"/>
      <c r="J300" s="1"/>
      <c r="K300" s="1"/>
      <c r="L300" s="1"/>
      <c r="M300" s="1"/>
      <c r="N300" s="1"/>
      <c r="O300" s="1"/>
      <c r="P300" s="1"/>
      <c r="Q300" s="1"/>
      <c r="R300" s="1"/>
      <c r="S300" s="1"/>
      <c r="T300" s="1"/>
      <c r="U300" s="1"/>
      <c r="V300" s="1"/>
    </row>
    <row r="301" ht="6.75" customHeight="1">
      <c r="A301" s="1"/>
      <c r="B301" s="159"/>
      <c r="C301" s="159"/>
      <c r="D301" s="159"/>
      <c r="E301" s="160"/>
      <c r="F301" s="151"/>
      <c r="G301" s="142"/>
      <c r="H301" s="142"/>
      <c r="I301" s="142"/>
      <c r="J301" s="1"/>
      <c r="K301" s="1"/>
      <c r="L301" s="1"/>
      <c r="M301" s="1"/>
      <c r="N301" s="1"/>
      <c r="O301" s="1"/>
      <c r="P301" s="1"/>
      <c r="Q301" s="1"/>
      <c r="R301" s="1"/>
      <c r="S301" s="1"/>
      <c r="T301" s="1"/>
      <c r="U301" s="1"/>
      <c r="V301" s="1"/>
    </row>
    <row r="302" ht="68.25" customHeight="1">
      <c r="A302" s="1"/>
      <c r="B302" s="144" t="s">
        <v>533</v>
      </c>
      <c r="C302" s="149" t="s">
        <v>91</v>
      </c>
      <c r="D302" s="149">
        <v>1.0</v>
      </c>
      <c r="E302" s="147" t="str">
        <f>DEC2HEX(((D302)*2^31),8)</f>
        <v>80000000</v>
      </c>
      <c r="F302" s="246" t="s">
        <v>534</v>
      </c>
      <c r="G302" s="147" t="s">
        <v>535</v>
      </c>
      <c r="H302" s="147" t="str">
        <f>"0x"&amp;DEC2HEX((HEX2DEC(C35)+424), 8)</f>
        <v>0x3D4001A8</v>
      </c>
      <c r="I302" s="234" t="str">
        <f>"0x"&amp;DEC2HEX((HEX2DEC(E302)), 8)</f>
        <v>0x80000000</v>
      </c>
      <c r="J302" s="318"/>
      <c r="K302" s="1"/>
      <c r="L302" s="1"/>
      <c r="M302" s="1"/>
      <c r="N302" s="1"/>
      <c r="O302" s="1"/>
      <c r="P302" s="1"/>
      <c r="Q302" s="1"/>
      <c r="R302" s="1"/>
      <c r="S302" s="1"/>
      <c r="T302" s="1"/>
      <c r="U302" s="1"/>
      <c r="V302" s="1"/>
    </row>
    <row r="303" ht="12.0" customHeight="1">
      <c r="A303" s="1"/>
      <c r="B303" s="109"/>
      <c r="C303" s="109"/>
      <c r="D303" s="109"/>
      <c r="E303" s="142"/>
      <c r="F303" s="151"/>
      <c r="G303" s="142"/>
      <c r="H303" s="142"/>
      <c r="I303" s="142"/>
      <c r="J303" s="1"/>
      <c r="K303" s="1"/>
      <c r="L303" s="1"/>
      <c r="M303" s="1"/>
      <c r="N303" s="1"/>
      <c r="O303" s="1"/>
      <c r="P303" s="1"/>
      <c r="Q303" s="1"/>
      <c r="R303" s="1"/>
      <c r="S303" s="1"/>
      <c r="T303" s="1"/>
      <c r="U303" s="1"/>
      <c r="V303" s="1"/>
    </row>
    <row r="304" ht="12.0" customHeight="1">
      <c r="A304" s="1"/>
      <c r="B304" s="116" t="s">
        <v>536</v>
      </c>
      <c r="C304" s="117" t="s">
        <v>91</v>
      </c>
      <c r="D304" s="168">
        <f>IF(J27="Enabled", 1, 0)</f>
        <v>0</v>
      </c>
      <c r="E304" s="154" t="str">
        <f>DEC2HEX(((D304)*2^2),8)</f>
        <v>00000000</v>
      </c>
      <c r="F304" s="184" t="s">
        <v>537</v>
      </c>
      <c r="G304" s="156" t="s">
        <v>538</v>
      </c>
      <c r="H304" s="156" t="str">
        <f>"0x"&amp;DEC2HEX((HEX2DEC(C35)+448), 8)</f>
        <v>0x3D4001C0</v>
      </c>
      <c r="I304" s="157" t="str">
        <f>"0x"&amp;DEC2HEX((HEX2DEC(E304)+HEX2DEC(E305)+HEX2DEC(E306)), 8)</f>
        <v>0x00000001</v>
      </c>
      <c r="J304" s="1"/>
      <c r="K304" s="1"/>
      <c r="L304" s="1"/>
      <c r="M304" s="1"/>
      <c r="N304" s="1"/>
      <c r="O304" s="1"/>
      <c r="P304" s="1"/>
      <c r="Q304" s="1"/>
      <c r="R304" s="1"/>
      <c r="S304" s="1"/>
      <c r="T304" s="1"/>
      <c r="U304" s="1"/>
      <c r="V304" s="1"/>
    </row>
    <row r="305" ht="12.0" customHeight="1">
      <c r="A305" s="1"/>
      <c r="B305" s="128" t="s">
        <v>539</v>
      </c>
      <c r="C305" s="175" t="s">
        <v>91</v>
      </c>
      <c r="D305" s="133">
        <f>IF(J27 ="ENABLED", 1, 0)</f>
        <v>0</v>
      </c>
      <c r="E305" s="130" t="str">
        <f>DEC2HEX(((D305)*2^1),8)</f>
        <v>00000000</v>
      </c>
      <c r="F305" s="187" t="s">
        <v>540</v>
      </c>
      <c r="G305" s="60"/>
      <c r="H305" s="60"/>
      <c r="I305" s="164"/>
      <c r="J305" s="1"/>
      <c r="K305" s="1"/>
      <c r="L305" s="1"/>
      <c r="M305" s="1"/>
      <c r="N305" s="1"/>
      <c r="O305" s="1"/>
      <c r="P305" s="1"/>
      <c r="Q305" s="1"/>
      <c r="R305" s="1"/>
      <c r="S305" s="1"/>
      <c r="T305" s="1"/>
      <c r="U305" s="1"/>
      <c r="V305" s="1"/>
    </row>
    <row r="306" ht="12.0" customHeight="1">
      <c r="A306" s="1"/>
      <c r="B306" s="135" t="s">
        <v>541</v>
      </c>
      <c r="C306" s="178" t="s">
        <v>91</v>
      </c>
      <c r="D306" s="136">
        <v>1.0</v>
      </c>
      <c r="E306" s="138" t="str">
        <f>DEC2HEX(((D306)*2^0),8)</f>
        <v>00000001</v>
      </c>
      <c r="F306" s="190" t="s">
        <v>542</v>
      </c>
      <c r="G306" s="140"/>
      <c r="H306" s="140"/>
      <c r="I306" s="50"/>
      <c r="J306" s="1"/>
      <c r="K306" s="1"/>
      <c r="L306" s="1"/>
      <c r="M306" s="1"/>
      <c r="N306" s="1"/>
      <c r="O306" s="1"/>
      <c r="P306" s="1"/>
      <c r="Q306" s="1"/>
      <c r="R306" s="1"/>
      <c r="S306" s="1"/>
      <c r="T306" s="1"/>
      <c r="U306" s="1"/>
      <c r="V306" s="1"/>
    </row>
    <row r="307" ht="6.75" customHeight="1">
      <c r="A307" s="1"/>
      <c r="B307" s="109"/>
      <c r="C307" s="109"/>
      <c r="D307" s="109"/>
      <c r="E307" s="142"/>
      <c r="F307" s="151"/>
      <c r="G307" s="142"/>
      <c r="H307" s="142"/>
      <c r="I307" s="142"/>
      <c r="J307" s="1"/>
      <c r="K307" s="1"/>
      <c r="L307" s="1"/>
      <c r="M307" s="1"/>
      <c r="N307" s="1"/>
      <c r="O307" s="1"/>
      <c r="P307" s="1"/>
      <c r="Q307" s="1"/>
      <c r="R307" s="1"/>
      <c r="S307" s="1"/>
      <c r="T307" s="1"/>
      <c r="U307" s="1"/>
      <c r="V307" s="1"/>
    </row>
    <row r="308" ht="12.0" customHeight="1">
      <c r="A308" s="1"/>
      <c r="B308" s="144" t="s">
        <v>543</v>
      </c>
      <c r="C308" s="145" t="s">
        <v>91</v>
      </c>
      <c r="D308" s="149">
        <v>1.0</v>
      </c>
      <c r="E308" s="147" t="str">
        <f>DEC2HEX(((D308)*2^0),8)</f>
        <v>00000001</v>
      </c>
      <c r="F308" s="246" t="s">
        <v>544</v>
      </c>
      <c r="G308" s="147" t="s">
        <v>545</v>
      </c>
      <c r="H308" s="147" t="str">
        <f>"0x"&amp;DEC2HEX((HEX2DEC(C35)+452), 8)</f>
        <v>0x3D4001C4</v>
      </c>
      <c r="I308" s="234" t="str">
        <f>"0x"&amp;DEC2HEX((HEX2DEC(E308)), 8)</f>
        <v>0x00000001</v>
      </c>
      <c r="J308" s="1"/>
      <c r="K308" s="1"/>
      <c r="L308" s="1"/>
      <c r="M308" s="1"/>
      <c r="N308" s="1"/>
      <c r="O308" s="1"/>
      <c r="P308" s="1"/>
      <c r="Q308" s="1"/>
      <c r="R308" s="1"/>
      <c r="S308" s="1"/>
      <c r="T308" s="1"/>
      <c r="U308" s="1"/>
      <c r="V308" s="1"/>
    </row>
    <row r="309" ht="12.0" customHeight="1">
      <c r="A309" s="1"/>
      <c r="B309" s="109"/>
      <c r="C309" s="109"/>
      <c r="D309" s="109"/>
      <c r="E309" s="142"/>
      <c r="F309" s="151"/>
      <c r="G309" s="142"/>
      <c r="H309" s="142"/>
      <c r="I309" s="142"/>
      <c r="J309" s="1"/>
      <c r="K309" s="1"/>
      <c r="L309" s="1"/>
      <c r="M309" s="1"/>
      <c r="N309" s="1"/>
      <c r="O309" s="1"/>
      <c r="P309" s="1"/>
      <c r="Q309" s="1"/>
      <c r="R309" s="1"/>
      <c r="S309" s="1"/>
      <c r="T309" s="1"/>
      <c r="U309" s="1"/>
      <c r="V309" s="1"/>
    </row>
    <row r="310" ht="12.0" customHeight="1">
      <c r="A310" s="1"/>
      <c r="B310" s="116" t="s">
        <v>546</v>
      </c>
      <c r="C310" s="117" t="s">
        <v>91</v>
      </c>
      <c r="D310" s="119">
        <v>0.0</v>
      </c>
      <c r="E310" s="154" t="str">
        <f>DEC2HEX(((D310)*2^24),8)</f>
        <v>00000000</v>
      </c>
      <c r="F310" s="120" t="s">
        <v>547</v>
      </c>
      <c r="G310" s="156" t="s">
        <v>548</v>
      </c>
      <c r="H310" s="156" t="str">
        <f>"0x"&amp;DEC2HEX((HEX2DEC(C35)+592), 8)</f>
        <v>0x3D400250</v>
      </c>
      <c r="I310" s="157" t="str">
        <f>"0x"&amp;DEC2HEX((HEX2DEC(E310)+HEX2DEC(E311)+HEX2DEC(E312)+HEX2DEC(E313)+HEX2DEC(E314)+HEX2DEC(E315) ), 8)</f>
        <v>0x00001705</v>
      </c>
      <c r="J310" s="1"/>
      <c r="K310" s="1"/>
      <c r="L310" s="1"/>
      <c r="M310" s="1"/>
      <c r="N310" s="1"/>
      <c r="O310" s="1"/>
      <c r="P310" s="1"/>
      <c r="Q310" s="1"/>
      <c r="R310" s="1"/>
      <c r="S310" s="1"/>
      <c r="T310" s="1"/>
      <c r="U310" s="1"/>
      <c r="V310" s="1"/>
    </row>
    <row r="311" ht="12.0" customHeight="1">
      <c r="A311" s="1"/>
      <c r="B311" s="128" t="s">
        <v>549</v>
      </c>
      <c r="C311" s="175" t="s">
        <v>91</v>
      </c>
      <c r="D311" s="132">
        <v>0.0</v>
      </c>
      <c r="E311" s="130" t="str">
        <f>DEC2HEX(((D311)*2^16),8)</f>
        <v>00000000</v>
      </c>
      <c r="F311" s="319" t="s">
        <v>550</v>
      </c>
      <c r="G311" s="60"/>
      <c r="H311" s="60"/>
      <c r="I311" s="164"/>
      <c r="J311" s="1"/>
      <c r="K311" s="1"/>
      <c r="L311" s="1"/>
      <c r="M311" s="1"/>
      <c r="N311" s="1"/>
      <c r="O311" s="1"/>
      <c r="P311" s="1"/>
      <c r="Q311" s="1"/>
      <c r="R311" s="1"/>
      <c r="S311" s="1"/>
      <c r="T311" s="1"/>
      <c r="U311" s="1"/>
      <c r="V311" s="1"/>
    </row>
    <row r="312" ht="12.0" customHeight="1">
      <c r="A312" s="1"/>
      <c r="B312" s="128" t="s">
        <v>551</v>
      </c>
      <c r="C312" s="175" t="s">
        <v>91</v>
      </c>
      <c r="D312" s="132">
        <v>23.0</v>
      </c>
      <c r="E312" s="130" t="str">
        <f>DEC2HEX(((D312)*2^8),8)</f>
        <v>00001700</v>
      </c>
      <c r="F312" s="319" t="s">
        <v>552</v>
      </c>
      <c r="G312" s="60"/>
      <c r="H312" s="60"/>
      <c r="I312" s="164"/>
      <c r="J312" s="1"/>
      <c r="K312" s="1"/>
      <c r="L312" s="1"/>
      <c r="M312" s="1"/>
      <c r="N312" s="1"/>
      <c r="O312" s="1"/>
      <c r="P312" s="1"/>
      <c r="Q312" s="1"/>
      <c r="R312" s="1"/>
      <c r="S312" s="1"/>
      <c r="T312" s="1"/>
      <c r="U312" s="1"/>
      <c r="V312" s="1"/>
    </row>
    <row r="313" ht="12.0" customHeight="1">
      <c r="A313" s="1"/>
      <c r="B313" s="128" t="s">
        <v>553</v>
      </c>
      <c r="C313" s="175" t="s">
        <v>91</v>
      </c>
      <c r="D313" s="132">
        <v>1.0</v>
      </c>
      <c r="E313" s="130" t="str">
        <f>DEC2HEX(((D313)*2^2),8)</f>
        <v>00000004</v>
      </c>
      <c r="F313" s="319" t="s">
        <v>554</v>
      </c>
      <c r="G313" s="60"/>
      <c r="H313" s="60"/>
      <c r="I313" s="164"/>
      <c r="J313" s="1"/>
      <c r="K313" s="1"/>
      <c r="L313" s="1"/>
      <c r="M313" s="1"/>
      <c r="N313" s="1"/>
      <c r="O313" s="1"/>
      <c r="P313" s="1"/>
      <c r="Q313" s="1"/>
      <c r="R313" s="1"/>
      <c r="S313" s="1"/>
      <c r="T313" s="1"/>
      <c r="U313" s="1"/>
      <c r="V313" s="1"/>
    </row>
    <row r="314" ht="12.0" customHeight="1">
      <c r="A314" s="1"/>
      <c r="B314" s="128" t="s">
        <v>555</v>
      </c>
      <c r="C314" s="175" t="s">
        <v>91</v>
      </c>
      <c r="D314" s="132">
        <v>0.0</v>
      </c>
      <c r="E314" s="130" t="str">
        <f>DEC2HEX(((D314)*2^1),8)</f>
        <v>00000000</v>
      </c>
      <c r="F314" s="319" t="s">
        <v>556</v>
      </c>
      <c r="G314" s="60"/>
      <c r="H314" s="60"/>
      <c r="I314" s="164"/>
      <c r="J314" s="1"/>
      <c r="K314" s="1"/>
      <c r="L314" s="1"/>
      <c r="M314" s="1"/>
      <c r="N314" s="1"/>
      <c r="O314" s="1"/>
      <c r="P314" s="1"/>
      <c r="Q314" s="1"/>
      <c r="R314" s="1"/>
      <c r="S314" s="1"/>
      <c r="T314" s="1"/>
      <c r="U314" s="1"/>
      <c r="V314" s="1"/>
    </row>
    <row r="315" ht="12.0" customHeight="1">
      <c r="A315" s="1"/>
      <c r="B315" s="135" t="s">
        <v>557</v>
      </c>
      <c r="C315" s="178" t="s">
        <v>91</v>
      </c>
      <c r="D315" s="136">
        <v>1.0</v>
      </c>
      <c r="E315" s="138" t="str">
        <f>DEC2HEX(((D315)*2^0),8)</f>
        <v>00000001</v>
      </c>
      <c r="F315" s="320" t="s">
        <v>558</v>
      </c>
      <c r="G315" s="140"/>
      <c r="H315" s="140"/>
      <c r="I315" s="50"/>
      <c r="J315" s="1"/>
      <c r="K315" s="1"/>
      <c r="L315" s="1"/>
      <c r="M315" s="1"/>
      <c r="N315" s="1"/>
      <c r="O315" s="1"/>
      <c r="P315" s="1"/>
      <c r="Q315" s="1"/>
      <c r="R315" s="1"/>
      <c r="S315" s="1"/>
      <c r="T315" s="1"/>
      <c r="U315" s="1"/>
      <c r="V315" s="1"/>
    </row>
    <row r="316" ht="12.0" customHeight="1">
      <c r="A316" s="1"/>
      <c r="B316" s="109"/>
      <c r="C316" s="109"/>
      <c r="D316" s="109"/>
      <c r="E316" s="142"/>
      <c r="F316" s="151"/>
      <c r="G316" s="142"/>
      <c r="H316" s="142"/>
      <c r="I316" s="142"/>
      <c r="J316" s="1"/>
      <c r="K316" s="1"/>
      <c r="L316" s="1"/>
      <c r="M316" s="1"/>
      <c r="N316" s="1"/>
      <c r="O316" s="1"/>
      <c r="P316" s="1"/>
      <c r="Q316" s="1"/>
      <c r="R316" s="1"/>
      <c r="S316" s="1"/>
      <c r="T316" s="1"/>
      <c r="U316" s="1"/>
      <c r="V316" s="1"/>
    </row>
    <row r="317" ht="12.0" customHeight="1">
      <c r="A317" s="1"/>
      <c r="B317" s="144" t="s">
        <v>559</v>
      </c>
      <c r="C317" s="145" t="s">
        <v>91</v>
      </c>
      <c r="D317" s="149">
        <v>44.0</v>
      </c>
      <c r="E317" s="147" t="str">
        <f>DEC2HEX(((D317)*2^0),8)</f>
        <v>0000002C</v>
      </c>
      <c r="F317" s="321" t="s">
        <v>560</v>
      </c>
      <c r="G317" s="147" t="s">
        <v>561</v>
      </c>
      <c r="H317" s="147" t="str">
        <f>"0x"&amp;DEC2HEX((HEX2DEC(C35)+596), 8)</f>
        <v>0x3D400254</v>
      </c>
      <c r="I317" s="234" t="str">
        <f>"0x"&amp;DEC2HEX((HEX2DEC(E317)), 8)</f>
        <v>0x0000002C</v>
      </c>
      <c r="J317" s="1"/>
      <c r="K317" s="1"/>
      <c r="L317" s="1"/>
      <c r="M317" s="1"/>
      <c r="N317" s="1"/>
      <c r="O317" s="1"/>
      <c r="P317" s="1"/>
      <c r="Q317" s="1"/>
      <c r="R317" s="1"/>
      <c r="S317" s="1"/>
      <c r="T317" s="1"/>
      <c r="U317" s="1"/>
      <c r="V317" s="1"/>
    </row>
    <row r="318" ht="12.0" customHeight="1">
      <c r="A318" s="1"/>
      <c r="B318" s="109"/>
      <c r="C318" s="109"/>
      <c r="D318" s="109"/>
      <c r="E318" s="142"/>
      <c r="F318" s="322"/>
      <c r="G318" s="142"/>
      <c r="H318" s="142"/>
      <c r="I318" s="142"/>
      <c r="J318" s="1"/>
      <c r="K318" s="1"/>
      <c r="L318" s="1"/>
      <c r="M318" s="1"/>
      <c r="N318" s="1"/>
      <c r="O318" s="1"/>
      <c r="P318" s="1"/>
      <c r="Q318" s="1"/>
      <c r="R318" s="1"/>
      <c r="S318" s="1"/>
      <c r="T318" s="1"/>
      <c r="U318" s="1"/>
      <c r="V318" s="1"/>
    </row>
    <row r="319" ht="12.0" customHeight="1">
      <c r="A319" s="1"/>
      <c r="B319" s="116" t="s">
        <v>562</v>
      </c>
      <c r="C319" s="117" t="s">
        <v>91</v>
      </c>
      <c r="D319" s="119">
        <v>4.0</v>
      </c>
      <c r="E319" s="154" t="str">
        <f>DEC2HEX(((D319)*2^24),8)</f>
        <v>04000000</v>
      </c>
      <c r="F319" s="120" t="s">
        <v>563</v>
      </c>
      <c r="G319" s="156" t="s">
        <v>564</v>
      </c>
      <c r="H319" s="156" t="str">
        <f>"0x"&amp;DEC2HEX((HEX2DEC(C35)+604), 8)</f>
        <v>0x3D40025C</v>
      </c>
      <c r="I319" s="157" t="str">
        <f>"0x"&amp;DEC2HEX((HEX2DEC(E319)+HEX2DEC(E320)), 8)</f>
        <v>0x04000030</v>
      </c>
      <c r="J319" s="1"/>
      <c r="K319" s="1"/>
      <c r="L319" s="1"/>
      <c r="M319" s="1"/>
      <c r="N319" s="1"/>
      <c r="O319" s="1"/>
      <c r="P319" s="1"/>
      <c r="Q319" s="1"/>
      <c r="R319" s="1"/>
      <c r="S319" s="1"/>
      <c r="T319" s="1"/>
      <c r="U319" s="1"/>
      <c r="V319" s="1"/>
    </row>
    <row r="320" ht="12.0" customHeight="1">
      <c r="A320" s="1"/>
      <c r="B320" s="135" t="s">
        <v>565</v>
      </c>
      <c r="C320" s="178" t="s">
        <v>91</v>
      </c>
      <c r="D320" s="136">
        <v>48.0</v>
      </c>
      <c r="E320" s="138" t="str">
        <f>DEC2HEX(((D320)*2^0),8)</f>
        <v>00000030</v>
      </c>
      <c r="F320" s="320" t="s">
        <v>566</v>
      </c>
      <c r="G320" s="140"/>
      <c r="H320" s="140"/>
      <c r="I320" s="50"/>
      <c r="J320" s="1"/>
      <c r="K320" s="1"/>
      <c r="L320" s="1"/>
      <c r="M320" s="1"/>
      <c r="N320" s="1"/>
      <c r="O320" s="1"/>
      <c r="P320" s="1"/>
      <c r="Q320" s="1"/>
      <c r="R320" s="1"/>
      <c r="S320" s="1"/>
      <c r="T320" s="1"/>
      <c r="U320" s="1"/>
      <c r="V320" s="1"/>
    </row>
    <row r="321" ht="12.0" customHeight="1">
      <c r="A321" s="1"/>
      <c r="B321" s="109"/>
      <c r="C321" s="109"/>
      <c r="D321" s="109"/>
      <c r="E321" s="142"/>
      <c r="F321" s="322"/>
      <c r="G321" s="142"/>
      <c r="H321" s="142"/>
      <c r="I321" s="142"/>
      <c r="J321" s="1"/>
      <c r="K321" s="1"/>
      <c r="L321" s="1"/>
      <c r="M321" s="1"/>
      <c r="N321" s="1"/>
      <c r="O321" s="1"/>
      <c r="P321" s="1"/>
      <c r="Q321" s="1"/>
      <c r="R321" s="1"/>
      <c r="S321" s="1"/>
      <c r="T321" s="1"/>
      <c r="U321" s="1"/>
      <c r="V321" s="1"/>
    </row>
    <row r="322" ht="12.0" customHeight="1">
      <c r="A322" s="1"/>
      <c r="B322" s="116" t="s">
        <v>567</v>
      </c>
      <c r="C322" s="117" t="s">
        <v>91</v>
      </c>
      <c r="D322" s="119">
        <v>144.0</v>
      </c>
      <c r="E322" s="154" t="str">
        <f>DEC2HEX(((D322)*2^24),8)</f>
        <v>90000000</v>
      </c>
      <c r="F322" s="120" t="s">
        <v>568</v>
      </c>
      <c r="G322" s="156" t="s">
        <v>569</v>
      </c>
      <c r="H322" s="156" t="str">
        <f>"0x"&amp;DEC2HEX((HEX2DEC(C35)+612), 8)</f>
        <v>0x3D400264</v>
      </c>
      <c r="I322" s="157" t="str">
        <f>"0x"&amp;DEC2HEX((HEX2DEC(E322)+HEX2DEC(E323)), 8)</f>
        <v>0x900093E7</v>
      </c>
      <c r="J322" s="1"/>
      <c r="K322" s="1"/>
      <c r="L322" s="1"/>
      <c r="M322" s="1"/>
      <c r="N322" s="1"/>
      <c r="O322" s="1"/>
      <c r="P322" s="1"/>
      <c r="Q322" s="1"/>
      <c r="R322" s="1"/>
      <c r="S322" s="1"/>
      <c r="T322" s="1"/>
      <c r="U322" s="1"/>
      <c r="V322" s="1"/>
    </row>
    <row r="323" ht="12.0" customHeight="1">
      <c r="A323" s="1"/>
      <c r="B323" s="135" t="s">
        <v>570</v>
      </c>
      <c r="C323" s="178" t="s">
        <v>91</v>
      </c>
      <c r="D323" s="136">
        <v>37863.0</v>
      </c>
      <c r="E323" s="138" t="str">
        <f>DEC2HEX(((D323)*2^0),8)</f>
        <v>000093E7</v>
      </c>
      <c r="F323" s="320" t="s">
        <v>571</v>
      </c>
      <c r="G323" s="140"/>
      <c r="H323" s="140"/>
      <c r="I323" s="50"/>
      <c r="J323" s="1"/>
      <c r="K323" s="1"/>
      <c r="L323" s="1"/>
      <c r="M323" s="1"/>
      <c r="N323" s="1"/>
      <c r="O323" s="1"/>
      <c r="P323" s="1"/>
      <c r="Q323" s="1"/>
      <c r="R323" s="1"/>
      <c r="S323" s="1"/>
      <c r="T323" s="1"/>
      <c r="U323" s="1"/>
      <c r="V323" s="1"/>
    </row>
    <row r="324" ht="12.0" customHeight="1">
      <c r="A324" s="1"/>
      <c r="B324" s="109"/>
      <c r="C324" s="109"/>
      <c r="D324" s="109"/>
      <c r="E324" s="142"/>
      <c r="F324" s="322"/>
      <c r="G324" s="142"/>
      <c r="H324" s="142"/>
      <c r="I324" s="142"/>
      <c r="J324" s="1"/>
      <c r="K324" s="1"/>
      <c r="L324" s="1"/>
      <c r="M324" s="1"/>
      <c r="N324" s="1"/>
      <c r="O324" s="1"/>
      <c r="P324" s="1"/>
      <c r="Q324" s="1"/>
      <c r="R324" s="1"/>
      <c r="S324" s="1"/>
      <c r="T324" s="1"/>
      <c r="U324" s="1"/>
      <c r="V324" s="1"/>
    </row>
    <row r="325" ht="12.0" customHeight="1">
      <c r="A325" s="1"/>
      <c r="B325" s="116" t="s">
        <v>572</v>
      </c>
      <c r="C325" s="117" t="s">
        <v>91</v>
      </c>
      <c r="D325" s="119">
        <v>2.0</v>
      </c>
      <c r="E325" s="154" t="str">
        <f>DEC2HEX(((D325)*2^24),8)</f>
        <v>02000000</v>
      </c>
      <c r="F325" s="120" t="s">
        <v>573</v>
      </c>
      <c r="G325" s="156" t="s">
        <v>574</v>
      </c>
      <c r="H325" s="156" t="str">
        <f>"0x"&amp;DEC2HEX((HEX2DEC(C35)+620), 8)</f>
        <v>0x3D40026C</v>
      </c>
      <c r="I325" s="157" t="str">
        <f>"0x"&amp;DEC2HEX((HEX2DEC(E325)+HEX2DEC(E326)), 8)</f>
        <v>0x02005574</v>
      </c>
      <c r="J325" s="1"/>
      <c r="K325" s="1"/>
      <c r="L325" s="1"/>
      <c r="M325" s="1"/>
      <c r="N325" s="1"/>
      <c r="O325" s="1"/>
      <c r="P325" s="1"/>
      <c r="Q325" s="1"/>
      <c r="R325" s="1"/>
      <c r="S325" s="1"/>
      <c r="T325" s="1"/>
      <c r="U325" s="1"/>
      <c r="V325" s="1"/>
    </row>
    <row r="326" ht="12.0" customHeight="1">
      <c r="A326" s="1"/>
      <c r="B326" s="135" t="s">
        <v>575</v>
      </c>
      <c r="C326" s="178" t="s">
        <v>91</v>
      </c>
      <c r="D326" s="136">
        <v>21876.0</v>
      </c>
      <c r="E326" s="138" t="str">
        <f>DEC2HEX(((D326)*2^0),8)</f>
        <v>00005574</v>
      </c>
      <c r="F326" s="320" t="s">
        <v>576</v>
      </c>
      <c r="G326" s="140"/>
      <c r="H326" s="140"/>
      <c r="I326" s="50"/>
      <c r="J326" s="1"/>
      <c r="K326" s="1"/>
      <c r="L326" s="1"/>
      <c r="M326" s="1"/>
      <c r="N326" s="1"/>
      <c r="O326" s="1"/>
      <c r="P326" s="1"/>
      <c r="Q326" s="1"/>
      <c r="R326" s="1"/>
      <c r="S326" s="1"/>
      <c r="T326" s="1"/>
      <c r="U326" s="1"/>
      <c r="V326" s="1"/>
    </row>
    <row r="327" ht="12.0" customHeight="1">
      <c r="A327" s="1"/>
      <c r="B327" s="109"/>
      <c r="C327" s="109"/>
      <c r="D327" s="109"/>
      <c r="E327" s="142"/>
      <c r="F327" s="322"/>
      <c r="G327" s="142"/>
      <c r="H327" s="142"/>
      <c r="I327" s="142"/>
      <c r="J327" s="1"/>
      <c r="K327" s="1"/>
      <c r="L327" s="1"/>
      <c r="M327" s="1"/>
      <c r="N327" s="1"/>
      <c r="O327" s="1"/>
      <c r="P327" s="1"/>
      <c r="Q327" s="1"/>
      <c r="R327" s="1"/>
      <c r="S327" s="1"/>
      <c r="T327" s="1"/>
      <c r="U327" s="1"/>
      <c r="V327" s="1"/>
    </row>
    <row r="328" ht="246.0" customHeight="1">
      <c r="A328" s="1"/>
      <c r="B328" s="116" t="s">
        <v>577</v>
      </c>
      <c r="C328" s="117" t="s">
        <v>91</v>
      </c>
      <c r="D328" s="119">
        <v>1.0</v>
      </c>
      <c r="E328" s="154" t="str">
        <f>DEC2HEX(((D328)*2^8),8)</f>
        <v>00000100</v>
      </c>
      <c r="F328" s="120" t="s">
        <v>578</v>
      </c>
      <c r="G328" s="156" t="s">
        <v>579</v>
      </c>
      <c r="H328" s="156" t="str">
        <f>"0x"&amp;DEC2HEX((HEX2DEC(C35)+1024), 8)</f>
        <v>0x3D400400</v>
      </c>
      <c r="I328" s="157" t="str">
        <f>"0x"&amp;DEC2HEX((HEX2DEC(E328)+HEX2DEC(E329)+HEX2DEC(E330)), 8)</f>
        <v>0x00000111</v>
      </c>
      <c r="J328" s="1"/>
      <c r="K328" s="1"/>
      <c r="L328" s="1"/>
      <c r="M328" s="1"/>
      <c r="N328" s="1"/>
      <c r="O328" s="1"/>
      <c r="P328" s="1"/>
      <c r="Q328" s="1"/>
      <c r="R328" s="1"/>
      <c r="S328" s="1"/>
      <c r="T328" s="1"/>
      <c r="U328" s="1"/>
      <c r="V328" s="1"/>
    </row>
    <row r="329" ht="12.0" customHeight="1">
      <c r="A329" s="1"/>
      <c r="B329" s="128" t="s">
        <v>580</v>
      </c>
      <c r="C329" s="175" t="s">
        <v>91</v>
      </c>
      <c r="D329" s="132">
        <v>1.0</v>
      </c>
      <c r="E329" s="130" t="str">
        <f>DEC2HEX(((D329)*2^4),8)</f>
        <v>00000010</v>
      </c>
      <c r="F329" s="319" t="s">
        <v>581</v>
      </c>
      <c r="G329" s="60"/>
      <c r="H329" s="60"/>
      <c r="I329" s="164"/>
      <c r="J329" s="1"/>
      <c r="K329" s="1"/>
      <c r="L329" s="1"/>
      <c r="M329" s="1"/>
      <c r="N329" s="1"/>
      <c r="O329" s="1"/>
      <c r="P329" s="1"/>
      <c r="Q329" s="1"/>
      <c r="R329" s="1"/>
      <c r="S329" s="1"/>
      <c r="T329" s="1"/>
      <c r="U329" s="1"/>
      <c r="V329" s="1"/>
    </row>
    <row r="330" ht="12.0" customHeight="1">
      <c r="A330" s="1"/>
      <c r="B330" s="135" t="s">
        <v>582</v>
      </c>
      <c r="C330" s="178" t="s">
        <v>91</v>
      </c>
      <c r="D330" s="136">
        <v>1.0</v>
      </c>
      <c r="E330" s="138" t="str">
        <f>DEC2HEX(((D330)*2^0),8)</f>
        <v>00000001</v>
      </c>
      <c r="F330" s="320" t="s">
        <v>583</v>
      </c>
      <c r="G330" s="140"/>
      <c r="H330" s="140"/>
      <c r="I330" s="50"/>
      <c r="J330" s="1"/>
      <c r="K330" s="1"/>
      <c r="L330" s="1"/>
      <c r="M330" s="1"/>
      <c r="N330" s="1"/>
      <c r="O330" s="1"/>
      <c r="P330" s="1"/>
      <c r="Q330" s="1"/>
      <c r="R330" s="1"/>
      <c r="S330" s="1"/>
      <c r="T330" s="1"/>
      <c r="U330" s="1"/>
      <c r="V330" s="1"/>
    </row>
    <row r="331" ht="12.0" customHeight="1">
      <c r="A331" s="1"/>
      <c r="B331" s="109"/>
      <c r="C331" s="109"/>
      <c r="D331" s="109"/>
      <c r="E331" s="142"/>
      <c r="F331" s="322"/>
      <c r="G331" s="142"/>
      <c r="H331" s="142"/>
      <c r="I331" s="142"/>
      <c r="J331" s="1"/>
      <c r="K331" s="1"/>
      <c r="L331" s="1"/>
      <c r="M331" s="1"/>
      <c r="N331" s="1"/>
      <c r="O331" s="1"/>
      <c r="P331" s="1"/>
      <c r="Q331" s="1"/>
      <c r="R331" s="1"/>
      <c r="S331" s="1"/>
      <c r="T331" s="1"/>
      <c r="U331" s="1"/>
      <c r="V331" s="1"/>
    </row>
    <row r="332" ht="12.0" customHeight="1">
      <c r="A332" s="1"/>
      <c r="B332" s="116" t="s">
        <v>584</v>
      </c>
      <c r="C332" s="117" t="s">
        <v>91</v>
      </c>
      <c r="D332" s="119">
        <v>0.0</v>
      </c>
      <c r="E332" s="154" t="str">
        <f>DEC2HEX(((D332)*2^16),8)</f>
        <v>00000000</v>
      </c>
      <c r="F332" s="120" t="s">
        <v>585</v>
      </c>
      <c r="G332" s="156" t="s">
        <v>586</v>
      </c>
      <c r="H332" s="156" t="str">
        <f>"0x"&amp;DEC2HEX((HEX2DEC(C35)+1028), 8)</f>
        <v>0x3D400404</v>
      </c>
      <c r="I332" s="157" t="str">
        <f>"0x"&amp;DEC2HEX((HEX2DEC(E332)+HEX2DEC(E333)+HEX2DEC(E334)+HEX2DEC(E335)+HEX2DEC(E336)+HEX2DEC(E337) ), 8)</f>
        <v>0x000072FF</v>
      </c>
      <c r="J332" s="1"/>
      <c r="K332" s="1"/>
      <c r="L332" s="1"/>
      <c r="M332" s="1"/>
      <c r="N332" s="1"/>
      <c r="O332" s="1"/>
      <c r="P332" s="1"/>
      <c r="Q332" s="1"/>
      <c r="R332" s="1"/>
      <c r="S332" s="1"/>
      <c r="T332" s="1"/>
      <c r="U332" s="1"/>
      <c r="V332" s="1"/>
    </row>
    <row r="333" ht="12.0" customHeight="1">
      <c r="A333" s="1"/>
      <c r="B333" s="128" t="s">
        <v>587</v>
      </c>
      <c r="C333" s="175" t="s">
        <v>91</v>
      </c>
      <c r="D333" s="132">
        <v>1.0</v>
      </c>
      <c r="E333" s="130" t="str">
        <f>DEC2HEX(((D333)*2^14),8)</f>
        <v>00004000</v>
      </c>
      <c r="F333" s="319" t="s">
        <v>588</v>
      </c>
      <c r="G333" s="60"/>
      <c r="H333" s="60"/>
      <c r="I333" s="164"/>
      <c r="J333" s="1"/>
      <c r="K333" s="1"/>
      <c r="L333" s="1"/>
      <c r="M333" s="1"/>
      <c r="N333" s="1"/>
      <c r="O333" s="1"/>
      <c r="P333" s="1"/>
      <c r="Q333" s="1"/>
      <c r="R333" s="1"/>
      <c r="S333" s="1"/>
      <c r="T333" s="1"/>
      <c r="U333" s="1"/>
      <c r="V333" s="1"/>
    </row>
    <row r="334" ht="12.0" customHeight="1">
      <c r="A334" s="1"/>
      <c r="B334" s="128" t="s">
        <v>589</v>
      </c>
      <c r="C334" s="175" t="s">
        <v>91</v>
      </c>
      <c r="D334" s="132">
        <v>1.0</v>
      </c>
      <c r="E334" s="130" t="str">
        <f>DEC2HEX(((D334)*2^13),8)</f>
        <v>00002000</v>
      </c>
      <c r="F334" s="319" t="s">
        <v>590</v>
      </c>
      <c r="G334" s="60"/>
      <c r="H334" s="60"/>
      <c r="I334" s="164"/>
      <c r="J334" s="1"/>
      <c r="K334" s="1"/>
      <c r="L334" s="1"/>
      <c r="M334" s="1"/>
      <c r="N334" s="1"/>
      <c r="O334" s="1"/>
      <c r="P334" s="1"/>
      <c r="Q334" s="1"/>
      <c r="R334" s="1"/>
      <c r="S334" s="1"/>
      <c r="T334" s="1"/>
      <c r="U334" s="1"/>
      <c r="V334" s="1"/>
    </row>
    <row r="335" ht="12.0" customHeight="1">
      <c r="A335" s="1"/>
      <c r="B335" s="128" t="s">
        <v>591</v>
      </c>
      <c r="C335" s="175" t="s">
        <v>91</v>
      </c>
      <c r="D335" s="132">
        <v>1.0</v>
      </c>
      <c r="E335" s="130" t="str">
        <f>DEC2HEX(((D335)*2^12),8)</f>
        <v>00001000</v>
      </c>
      <c r="F335" s="319" t="s">
        <v>592</v>
      </c>
      <c r="G335" s="60"/>
      <c r="H335" s="60"/>
      <c r="I335" s="164"/>
      <c r="J335" s="1"/>
      <c r="K335" s="1"/>
      <c r="L335" s="1"/>
      <c r="M335" s="1"/>
      <c r="N335" s="1"/>
      <c r="O335" s="1"/>
      <c r="P335" s="1"/>
      <c r="Q335" s="1"/>
      <c r="R335" s="1"/>
      <c r="S335" s="1"/>
      <c r="T335" s="1"/>
      <c r="U335" s="1"/>
      <c r="V335" s="1"/>
    </row>
    <row r="336" ht="12.0" customHeight="1">
      <c r="A336" s="1"/>
      <c r="B336" s="128" t="s">
        <v>593</v>
      </c>
      <c r="C336" s="175" t="s">
        <v>91</v>
      </c>
      <c r="D336" s="132">
        <v>0.0</v>
      </c>
      <c r="E336" s="130" t="str">
        <f>DEC2HEX(((D336)*2^11),8)</f>
        <v>00000000</v>
      </c>
      <c r="F336" s="319" t="s">
        <v>594</v>
      </c>
      <c r="G336" s="60"/>
      <c r="H336" s="60"/>
      <c r="I336" s="164"/>
      <c r="J336" s="1"/>
      <c r="K336" s="1"/>
      <c r="L336" s="1"/>
      <c r="M336" s="1"/>
      <c r="N336" s="1"/>
      <c r="O336" s="1"/>
      <c r="P336" s="1"/>
      <c r="Q336" s="1"/>
      <c r="R336" s="1"/>
      <c r="S336" s="1"/>
      <c r="T336" s="1"/>
      <c r="U336" s="1"/>
      <c r="V336" s="1"/>
    </row>
    <row r="337" ht="12.0" customHeight="1">
      <c r="A337" s="1"/>
      <c r="B337" s="135" t="s">
        <v>595</v>
      </c>
      <c r="C337" s="178" t="s">
        <v>91</v>
      </c>
      <c r="D337" s="136">
        <v>767.0</v>
      </c>
      <c r="E337" s="138" t="str">
        <f>DEC2HEX(((D337)*2^0),8)</f>
        <v>000002FF</v>
      </c>
      <c r="F337" s="320" t="s">
        <v>596</v>
      </c>
      <c r="G337" s="140"/>
      <c r="H337" s="140"/>
      <c r="I337" s="50"/>
      <c r="J337" s="1"/>
      <c r="K337" s="1"/>
      <c r="L337" s="1"/>
      <c r="M337" s="1"/>
      <c r="N337" s="1"/>
      <c r="O337" s="1"/>
      <c r="P337" s="1"/>
      <c r="Q337" s="1"/>
      <c r="R337" s="1"/>
      <c r="S337" s="1"/>
      <c r="T337" s="1"/>
      <c r="U337" s="1"/>
      <c r="V337" s="1"/>
    </row>
    <row r="338" ht="12.0" customHeight="1">
      <c r="A338" s="1"/>
      <c r="B338" s="109"/>
      <c r="C338" s="109"/>
      <c r="D338" s="109"/>
      <c r="E338" s="142"/>
      <c r="F338" s="322"/>
      <c r="G338" s="142"/>
      <c r="H338" s="142"/>
      <c r="I338" s="142"/>
      <c r="J338" s="1"/>
      <c r="K338" s="1"/>
      <c r="L338" s="1"/>
      <c r="M338" s="1"/>
      <c r="N338" s="1"/>
      <c r="O338" s="1"/>
      <c r="P338" s="1"/>
      <c r="Q338" s="1"/>
      <c r="R338" s="1"/>
      <c r="S338" s="1"/>
      <c r="T338" s="1"/>
      <c r="U338" s="1"/>
      <c r="V338" s="1"/>
    </row>
    <row r="339" ht="12.0" customHeight="1">
      <c r="A339" s="1"/>
      <c r="B339" s="109"/>
      <c r="C339" s="109"/>
      <c r="D339" s="109"/>
      <c r="E339" s="142"/>
      <c r="F339" s="322"/>
      <c r="G339" s="142"/>
      <c r="H339" s="142"/>
      <c r="I339" s="142"/>
      <c r="J339" s="1"/>
      <c r="K339" s="1"/>
      <c r="L339" s="1"/>
      <c r="M339" s="1"/>
      <c r="N339" s="1"/>
      <c r="O339" s="1"/>
      <c r="P339" s="1"/>
      <c r="Q339" s="1"/>
      <c r="R339" s="1"/>
      <c r="S339" s="1"/>
      <c r="T339" s="1"/>
      <c r="U339" s="1"/>
      <c r="V339" s="1"/>
    </row>
    <row r="340" ht="12.0" customHeight="1">
      <c r="A340" s="1"/>
      <c r="B340" s="116" t="s">
        <v>597</v>
      </c>
      <c r="C340" s="117" t="s">
        <v>91</v>
      </c>
      <c r="D340" s="119">
        <v>1.0</v>
      </c>
      <c r="E340" s="154" t="str">
        <f>DEC2HEX(((D340)*2^14),8)</f>
        <v>00004000</v>
      </c>
      <c r="F340" s="120" t="s">
        <v>598</v>
      </c>
      <c r="G340" s="156" t="s">
        <v>599</v>
      </c>
      <c r="H340" s="156" t="str">
        <f>"0x"&amp;DEC2HEX((HEX2DEC(C35)+1032), 8)</f>
        <v>0x3D400408</v>
      </c>
      <c r="I340" s="157" t="str">
        <f>"0x"&amp;DEC2HEX((HEX2DEC(E340)+HEX2DEC(E341)+HEX2DEC(E342)+HEX2DEC(E343)), 8)</f>
        <v>0x000072FF</v>
      </c>
      <c r="J340" s="1"/>
      <c r="K340" s="1"/>
      <c r="L340" s="1"/>
      <c r="M340" s="1"/>
      <c r="N340" s="1"/>
      <c r="O340" s="1"/>
      <c r="P340" s="1"/>
      <c r="Q340" s="1"/>
      <c r="R340" s="1"/>
      <c r="S340" s="1"/>
      <c r="T340" s="1"/>
      <c r="U340" s="1"/>
      <c r="V340" s="1"/>
    </row>
    <row r="341" ht="12.0" customHeight="1">
      <c r="A341" s="1"/>
      <c r="B341" s="128" t="s">
        <v>600</v>
      </c>
      <c r="C341" s="175" t="s">
        <v>91</v>
      </c>
      <c r="D341" s="132">
        <v>1.0</v>
      </c>
      <c r="E341" s="130" t="str">
        <f>DEC2HEX(((D341)*2^13),8)</f>
        <v>00002000</v>
      </c>
      <c r="F341" s="319" t="s">
        <v>601</v>
      </c>
      <c r="G341" s="60"/>
      <c r="H341" s="60"/>
      <c r="I341" s="164"/>
      <c r="J341" s="1"/>
      <c r="K341" s="1"/>
      <c r="L341" s="1"/>
      <c r="M341" s="1"/>
      <c r="N341" s="1"/>
      <c r="O341" s="1"/>
      <c r="P341" s="1"/>
      <c r="Q341" s="1"/>
      <c r="R341" s="1"/>
      <c r="S341" s="1"/>
      <c r="T341" s="1"/>
      <c r="U341" s="1"/>
      <c r="V341" s="1"/>
    </row>
    <row r="342" ht="12.0" customHeight="1">
      <c r="A342" s="1"/>
      <c r="B342" s="128" t="s">
        <v>602</v>
      </c>
      <c r="C342" s="175" t="s">
        <v>91</v>
      </c>
      <c r="D342" s="132">
        <v>1.0</v>
      </c>
      <c r="E342" s="130" t="str">
        <f>DEC2HEX(((D342)*2^12),8)</f>
        <v>00001000</v>
      </c>
      <c r="F342" s="151" t="s">
        <v>603</v>
      </c>
      <c r="G342" s="60"/>
      <c r="H342" s="60"/>
      <c r="I342" s="164"/>
      <c r="J342" s="1"/>
      <c r="K342" s="1"/>
      <c r="L342" s="1"/>
      <c r="M342" s="1"/>
      <c r="N342" s="1"/>
      <c r="O342" s="1"/>
      <c r="P342" s="1"/>
      <c r="Q342" s="1"/>
      <c r="R342" s="1"/>
      <c r="S342" s="1"/>
      <c r="T342" s="1"/>
      <c r="U342" s="1"/>
      <c r="V342" s="1"/>
    </row>
    <row r="343" ht="12.0" customHeight="1">
      <c r="A343" s="1"/>
      <c r="B343" s="135" t="s">
        <v>604</v>
      </c>
      <c r="C343" s="178" t="s">
        <v>91</v>
      </c>
      <c r="D343" s="136">
        <v>767.0</v>
      </c>
      <c r="E343" s="138" t="str">
        <f>DEC2HEX(((D343)*2^0),8)</f>
        <v>000002FF</v>
      </c>
      <c r="F343" s="320" t="s">
        <v>605</v>
      </c>
      <c r="G343" s="140"/>
      <c r="H343" s="140"/>
      <c r="I343" s="50"/>
      <c r="J343" s="1"/>
      <c r="K343" s="1"/>
      <c r="L343" s="1"/>
      <c r="M343" s="1"/>
      <c r="N343" s="1"/>
      <c r="O343" s="1"/>
      <c r="P343" s="1"/>
      <c r="Q343" s="1"/>
      <c r="R343" s="1"/>
      <c r="S343" s="1"/>
      <c r="T343" s="1"/>
      <c r="U343" s="1"/>
      <c r="V343" s="1"/>
    </row>
    <row r="344" ht="12.0" customHeight="1">
      <c r="A344" s="1"/>
      <c r="B344" s="109"/>
      <c r="C344" s="109"/>
      <c r="D344" s="109"/>
      <c r="E344" s="142"/>
      <c r="F344" s="322"/>
      <c r="G344" s="142"/>
      <c r="H344" s="142"/>
      <c r="I344" s="142"/>
      <c r="J344" s="1"/>
      <c r="K344" s="1"/>
      <c r="L344" s="1"/>
      <c r="M344" s="1"/>
      <c r="N344" s="1"/>
      <c r="O344" s="1"/>
      <c r="P344" s="1"/>
      <c r="Q344" s="1"/>
      <c r="R344" s="1"/>
      <c r="S344" s="1"/>
      <c r="T344" s="1"/>
      <c r="U344" s="1"/>
      <c r="V344" s="1"/>
    </row>
    <row r="345" ht="12.0" customHeight="1">
      <c r="A345" s="1"/>
      <c r="B345" s="116" t="s">
        <v>606</v>
      </c>
      <c r="C345" s="117" t="s">
        <v>91</v>
      </c>
      <c r="D345" s="119">
        <v>2.0</v>
      </c>
      <c r="E345" s="154" t="str">
        <f>DEC2HEX(((D345)*2^24),8)</f>
        <v>02000000</v>
      </c>
      <c r="F345" s="120" t="s">
        <v>607</v>
      </c>
      <c r="G345" s="156" t="s">
        <v>608</v>
      </c>
      <c r="H345" s="156" t="str">
        <f>"0x"&amp;DEC2HEX((HEX2DEC(C35)+1172), 8)</f>
        <v>0x3D400494</v>
      </c>
      <c r="I345" s="157" t="str">
        <f>"0x"&amp;DEC2HEX((HEX2DEC(E345)+HEX2DEC(E346)+HEX2DEC(E347)+HEX2DEC(E348)+HEX2DEC(E349)), 8)</f>
        <v>0x02100E07</v>
      </c>
      <c r="J345" s="1"/>
      <c r="K345" s="1"/>
      <c r="L345" s="1"/>
      <c r="M345" s="1"/>
      <c r="N345" s="1"/>
      <c r="O345" s="1"/>
      <c r="P345" s="1"/>
      <c r="Q345" s="1"/>
      <c r="R345" s="1"/>
      <c r="S345" s="1"/>
      <c r="T345" s="1"/>
      <c r="U345" s="1"/>
      <c r="V345" s="1"/>
    </row>
    <row r="346" ht="12.0" customHeight="1">
      <c r="A346" s="1"/>
      <c r="B346" s="128" t="s">
        <v>609</v>
      </c>
      <c r="C346" s="175" t="s">
        <v>91</v>
      </c>
      <c r="D346" s="132">
        <v>1.0</v>
      </c>
      <c r="E346" s="130" t="str">
        <f>DEC2HEX(((D346)*2^20),8)</f>
        <v>00100000</v>
      </c>
      <c r="F346" s="319" t="s">
        <v>610</v>
      </c>
      <c r="G346" s="60"/>
      <c r="H346" s="60"/>
      <c r="I346" s="164"/>
      <c r="J346" s="1"/>
      <c r="K346" s="1"/>
      <c r="L346" s="1"/>
      <c r="M346" s="1"/>
      <c r="N346" s="1"/>
      <c r="O346" s="1"/>
      <c r="P346" s="1"/>
      <c r="Q346" s="1"/>
      <c r="R346" s="1"/>
      <c r="S346" s="1"/>
      <c r="T346" s="1"/>
      <c r="U346" s="1"/>
      <c r="V346" s="1"/>
    </row>
    <row r="347" ht="12.0" customHeight="1">
      <c r="A347" s="1"/>
      <c r="B347" s="128" t="s">
        <v>611</v>
      </c>
      <c r="C347" s="175" t="s">
        <v>91</v>
      </c>
      <c r="D347" s="132">
        <v>0.0</v>
      </c>
      <c r="E347" s="130" t="str">
        <f>DEC2HEX(((D347)*2^16),8)</f>
        <v>00000000</v>
      </c>
      <c r="F347" s="319" t="s">
        <v>612</v>
      </c>
      <c r="G347" s="60"/>
      <c r="H347" s="60"/>
      <c r="I347" s="164"/>
      <c r="J347" s="1"/>
      <c r="K347" s="1"/>
      <c r="L347" s="1"/>
      <c r="M347" s="1"/>
      <c r="N347" s="1"/>
      <c r="O347" s="1"/>
      <c r="P347" s="1"/>
      <c r="Q347" s="1"/>
      <c r="R347" s="1"/>
      <c r="S347" s="1"/>
      <c r="T347" s="1"/>
      <c r="U347" s="1"/>
      <c r="V347" s="1"/>
    </row>
    <row r="348" ht="12.0" customHeight="1">
      <c r="A348" s="1"/>
      <c r="B348" s="128" t="s">
        <v>613</v>
      </c>
      <c r="C348" s="175" t="s">
        <v>91</v>
      </c>
      <c r="D348" s="132">
        <v>14.0</v>
      </c>
      <c r="E348" s="130" t="str">
        <f>DEC2HEX(((D348)*2^8),8)</f>
        <v>00000E00</v>
      </c>
      <c r="F348" s="319" t="s">
        <v>614</v>
      </c>
      <c r="G348" s="60"/>
      <c r="H348" s="60"/>
      <c r="I348" s="164"/>
      <c r="J348" s="1"/>
      <c r="K348" s="1"/>
      <c r="L348" s="1"/>
      <c r="M348" s="1"/>
      <c r="N348" s="1"/>
      <c r="O348" s="1"/>
      <c r="P348" s="1"/>
      <c r="Q348" s="1"/>
      <c r="R348" s="1"/>
      <c r="S348" s="1"/>
      <c r="T348" s="1"/>
      <c r="U348" s="1"/>
      <c r="V348" s="1"/>
    </row>
    <row r="349" ht="12.0" customHeight="1">
      <c r="A349" s="1"/>
      <c r="B349" s="135" t="s">
        <v>615</v>
      </c>
      <c r="C349" s="178" t="s">
        <v>91</v>
      </c>
      <c r="D349" s="136">
        <v>7.0</v>
      </c>
      <c r="E349" s="138" t="str">
        <f>DEC2HEX(((D349)*2^0),8)</f>
        <v>00000007</v>
      </c>
      <c r="F349" s="320" t="s">
        <v>616</v>
      </c>
      <c r="G349" s="140"/>
      <c r="H349" s="140"/>
      <c r="I349" s="50"/>
      <c r="J349" s="1"/>
      <c r="K349" s="1"/>
      <c r="L349" s="1"/>
      <c r="M349" s="1"/>
      <c r="N349" s="1"/>
      <c r="O349" s="1"/>
      <c r="P349" s="1"/>
      <c r="Q349" s="1"/>
      <c r="R349" s="1"/>
      <c r="S349" s="1"/>
      <c r="T349" s="1"/>
      <c r="U349" s="1"/>
      <c r="V349" s="1"/>
    </row>
    <row r="350" ht="12.0" customHeight="1">
      <c r="A350" s="1"/>
      <c r="B350" s="109"/>
      <c r="C350" s="109"/>
      <c r="D350" s="109"/>
      <c r="E350" s="142"/>
      <c r="F350" s="322"/>
      <c r="G350" s="142"/>
      <c r="H350" s="142"/>
      <c r="I350" s="142"/>
      <c r="J350" s="1"/>
      <c r="K350" s="1"/>
      <c r="L350" s="1"/>
      <c r="M350" s="1"/>
      <c r="N350" s="1"/>
      <c r="O350" s="1"/>
      <c r="P350" s="1"/>
      <c r="Q350" s="1"/>
      <c r="R350" s="1"/>
      <c r="S350" s="1"/>
      <c r="T350" s="1"/>
      <c r="U350" s="1"/>
      <c r="V350" s="1"/>
    </row>
    <row r="351" ht="12.0" customHeight="1">
      <c r="A351" s="1"/>
      <c r="B351" s="116" t="s">
        <v>617</v>
      </c>
      <c r="C351" s="117" t="s">
        <v>91</v>
      </c>
      <c r="D351" s="119">
        <v>98.0</v>
      </c>
      <c r="E351" s="154" t="str">
        <f>DEC2HEX(((D351)*2^16),8)</f>
        <v>00620000</v>
      </c>
      <c r="F351" s="120" t="s">
        <v>618</v>
      </c>
      <c r="G351" s="156" t="s">
        <v>619</v>
      </c>
      <c r="H351" s="156" t="str">
        <f>"0x"&amp;DEC2HEX((HEX2DEC(C35)+1176), 8)</f>
        <v>0x3D400498</v>
      </c>
      <c r="I351" s="157" t="str">
        <f>"0x"&amp;DEC2HEX((HEX2DEC(E351)+HEX2DEC(E352)), 8)</f>
        <v>0x00620096</v>
      </c>
      <c r="J351" s="1"/>
      <c r="K351" s="1"/>
      <c r="L351" s="1"/>
      <c r="M351" s="1"/>
      <c r="N351" s="1"/>
      <c r="O351" s="1"/>
      <c r="P351" s="1"/>
      <c r="Q351" s="1"/>
      <c r="R351" s="1"/>
      <c r="S351" s="1"/>
      <c r="T351" s="1"/>
      <c r="U351" s="1"/>
      <c r="V351" s="1"/>
    </row>
    <row r="352" ht="12.0" customHeight="1">
      <c r="A352" s="1"/>
      <c r="B352" s="135" t="s">
        <v>620</v>
      </c>
      <c r="C352" s="178" t="s">
        <v>91</v>
      </c>
      <c r="D352" s="136">
        <v>150.0</v>
      </c>
      <c r="E352" s="138" t="str">
        <f>DEC2HEX(((D352)*2^0),8)</f>
        <v>00000096</v>
      </c>
      <c r="F352" s="320" t="s">
        <v>621</v>
      </c>
      <c r="G352" s="140"/>
      <c r="H352" s="140"/>
      <c r="I352" s="50"/>
      <c r="J352" s="1"/>
      <c r="K352" s="1"/>
      <c r="L352" s="1"/>
      <c r="M352" s="1"/>
      <c r="N352" s="1"/>
      <c r="O352" s="1"/>
      <c r="P352" s="1"/>
      <c r="Q352" s="1"/>
      <c r="R352" s="1"/>
      <c r="S352" s="1"/>
      <c r="T352" s="1"/>
      <c r="U352" s="1"/>
      <c r="V352" s="1"/>
    </row>
    <row r="353" ht="12.0" customHeight="1">
      <c r="A353" s="1"/>
      <c r="B353" s="109"/>
      <c r="C353" s="109"/>
      <c r="D353" s="109"/>
      <c r="E353" s="142"/>
      <c r="F353" s="322"/>
      <c r="G353" s="142"/>
      <c r="H353" s="142"/>
      <c r="I353" s="142"/>
      <c r="J353" s="1"/>
      <c r="K353" s="1"/>
      <c r="L353" s="1"/>
      <c r="M353" s="1"/>
      <c r="N353" s="1"/>
      <c r="O353" s="1"/>
      <c r="P353" s="1"/>
      <c r="Q353" s="1"/>
      <c r="R353" s="1"/>
      <c r="S353" s="1"/>
      <c r="T353" s="1"/>
      <c r="U353" s="1"/>
      <c r="V353" s="1"/>
    </row>
    <row r="354" ht="12.0" customHeight="1">
      <c r="A354" s="1"/>
      <c r="B354" s="116" t="s">
        <v>622</v>
      </c>
      <c r="C354" s="117" t="s">
        <v>91</v>
      </c>
      <c r="D354" s="119">
        <v>1.0</v>
      </c>
      <c r="E354" s="154" t="str">
        <f>DEC2HEX(((D354)*2^24),8)</f>
        <v>01000000</v>
      </c>
      <c r="F354" s="120" t="s">
        <v>623</v>
      </c>
      <c r="G354" s="156" t="s">
        <v>624</v>
      </c>
      <c r="H354" s="156" t="str">
        <f>"0x"&amp;DEC2HEX((HEX2DEC(C35)+1180), 8)</f>
        <v>0x3D40049C</v>
      </c>
      <c r="I354" s="157" t="str">
        <f>"0x"&amp;DEC2HEX((HEX2DEC(E354)+HEX2DEC(E355)+HEX2DEC(E356)+HEX2DEC(E357)), 8)</f>
        <v>0x01100E07</v>
      </c>
      <c r="J354" s="1"/>
      <c r="K354" s="1"/>
      <c r="L354" s="1"/>
      <c r="M354" s="1"/>
      <c r="N354" s="1"/>
      <c r="O354" s="1"/>
      <c r="P354" s="1"/>
      <c r="Q354" s="1"/>
      <c r="R354" s="1"/>
      <c r="S354" s="1"/>
      <c r="T354" s="1"/>
      <c r="U354" s="1"/>
      <c r="V354" s="1"/>
    </row>
    <row r="355" ht="12.0" customHeight="1">
      <c r="A355" s="1"/>
      <c r="B355" s="128" t="s">
        <v>625</v>
      </c>
      <c r="C355" s="175" t="s">
        <v>91</v>
      </c>
      <c r="D355" s="132">
        <v>1.0</v>
      </c>
      <c r="E355" s="130" t="str">
        <f>DEC2HEX(((D355)*2^20),8)</f>
        <v>00100000</v>
      </c>
      <c r="F355" s="319" t="s">
        <v>626</v>
      </c>
      <c r="G355" s="60"/>
      <c r="H355" s="60"/>
      <c r="I355" s="164"/>
      <c r="J355" s="1"/>
      <c r="K355" s="1"/>
      <c r="L355" s="1"/>
      <c r="M355" s="1"/>
      <c r="N355" s="1"/>
      <c r="O355" s="1"/>
      <c r="P355" s="1"/>
      <c r="Q355" s="1"/>
      <c r="R355" s="1"/>
      <c r="S355" s="1"/>
      <c r="T355" s="1"/>
      <c r="U355" s="1"/>
      <c r="V355" s="1"/>
    </row>
    <row r="356" ht="12.0" customHeight="1">
      <c r="A356" s="1"/>
      <c r="B356" s="128" t="s">
        <v>627</v>
      </c>
      <c r="C356" s="175" t="s">
        <v>91</v>
      </c>
      <c r="D356" s="132">
        <v>0.0</v>
      </c>
      <c r="E356" s="130" t="str">
        <f>DEC2HEX(((D356)*2^16),8)</f>
        <v>00000000</v>
      </c>
      <c r="F356" s="319" t="s">
        <v>628</v>
      </c>
      <c r="G356" s="60"/>
      <c r="H356" s="60"/>
      <c r="I356" s="164"/>
      <c r="J356" s="1"/>
      <c r="K356" s="1"/>
      <c r="L356" s="1"/>
      <c r="M356" s="1"/>
      <c r="N356" s="1"/>
      <c r="O356" s="1"/>
      <c r="P356" s="1"/>
      <c r="Q356" s="1"/>
      <c r="R356" s="1"/>
      <c r="S356" s="1"/>
      <c r="T356" s="1"/>
      <c r="U356" s="1"/>
      <c r="V356" s="1"/>
    </row>
    <row r="357" ht="12.0" customHeight="1">
      <c r="A357" s="1"/>
      <c r="B357" s="135" t="s">
        <v>629</v>
      </c>
      <c r="C357" s="178" t="s">
        <v>91</v>
      </c>
      <c r="D357" s="136">
        <v>3591.0</v>
      </c>
      <c r="E357" s="138" t="str">
        <f>DEC2HEX(((D357)*2^0),8)</f>
        <v>00000E07</v>
      </c>
      <c r="F357" s="320" t="s">
        <v>630</v>
      </c>
      <c r="G357" s="140"/>
      <c r="H357" s="140"/>
      <c r="I357" s="50"/>
      <c r="J357" s="1"/>
      <c r="K357" s="1"/>
      <c r="L357" s="1"/>
      <c r="M357" s="1"/>
      <c r="N357" s="1"/>
      <c r="O357" s="1"/>
      <c r="P357" s="1"/>
      <c r="Q357" s="1"/>
      <c r="R357" s="1"/>
      <c r="S357" s="1"/>
      <c r="T357" s="1"/>
      <c r="U357" s="1"/>
      <c r="V357" s="1"/>
    </row>
    <row r="358" ht="12.0" customHeight="1">
      <c r="A358" s="1"/>
      <c r="B358" s="109"/>
      <c r="C358" s="109"/>
      <c r="D358" s="109"/>
      <c r="E358" s="142"/>
      <c r="F358" s="322"/>
      <c r="G358" s="142"/>
      <c r="H358" s="142"/>
      <c r="I358" s="142"/>
      <c r="J358" s="1"/>
      <c r="K358" s="1"/>
      <c r="L358" s="1"/>
      <c r="M358" s="1"/>
      <c r="N358" s="1"/>
      <c r="O358" s="1"/>
      <c r="P358" s="1"/>
      <c r="Q358" s="1"/>
      <c r="R358" s="1"/>
      <c r="S358" s="1"/>
      <c r="T358" s="1"/>
      <c r="U358" s="1"/>
      <c r="V358" s="1"/>
    </row>
    <row r="359" ht="12.0" customHeight="1">
      <c r="A359" s="1"/>
      <c r="B359" s="144" t="s">
        <v>631</v>
      </c>
      <c r="C359" s="145" t="s">
        <v>91</v>
      </c>
      <c r="D359" s="149">
        <v>1.31075E7</v>
      </c>
      <c r="E359" s="147" t="str">
        <f>DEC2HEX(((D359)*2^0),8)</f>
        <v>00C8012C</v>
      </c>
      <c r="F359" s="321" t="s">
        <v>632</v>
      </c>
      <c r="G359" s="147" t="s">
        <v>633</v>
      </c>
      <c r="H359" s="147" t="str">
        <f>"0x"&amp;DEC2HEX((HEX2DEC(C35)+1184), 8)</f>
        <v>0x3D4004A0</v>
      </c>
      <c r="I359" s="234" t="str">
        <f>"0x"&amp;DEC2HEX((HEX2DEC(E359)), 8)</f>
        <v>0x00C8012C</v>
      </c>
      <c r="J359" s="1"/>
      <c r="K359" s="1"/>
      <c r="L359" s="1"/>
      <c r="M359" s="1"/>
      <c r="N359" s="1"/>
      <c r="O359" s="1"/>
      <c r="P359" s="1"/>
      <c r="Q359" s="1"/>
      <c r="R359" s="1"/>
      <c r="S359" s="1"/>
      <c r="T359" s="1"/>
      <c r="U359" s="1"/>
      <c r="V359" s="1"/>
    </row>
    <row r="360" ht="12.0" customHeight="1">
      <c r="A360" s="1"/>
      <c r="B360" s="109"/>
      <c r="C360" s="109"/>
      <c r="D360" s="109"/>
      <c r="E360" s="142"/>
      <c r="F360" s="322"/>
      <c r="G360" s="142"/>
      <c r="H360" s="142"/>
      <c r="I360" s="142"/>
      <c r="J360" s="1"/>
      <c r="K360" s="1"/>
      <c r="L360" s="1"/>
      <c r="M360" s="1"/>
      <c r="N360" s="1"/>
      <c r="O360" s="1"/>
      <c r="P360" s="1"/>
      <c r="Q360" s="1"/>
      <c r="R360" s="1"/>
      <c r="S360" s="1"/>
      <c r="T360" s="1"/>
      <c r="U360" s="1"/>
      <c r="V360" s="1"/>
    </row>
    <row r="361" ht="12.0" customHeight="1">
      <c r="A361" s="1"/>
      <c r="B361" s="109"/>
      <c r="C361" s="109"/>
      <c r="D361" s="109"/>
      <c r="E361" s="142"/>
      <c r="F361" s="151"/>
      <c r="G361" s="142"/>
      <c r="H361" s="142"/>
      <c r="I361" s="142"/>
      <c r="J361" s="1"/>
      <c r="K361" s="1"/>
      <c r="L361" s="1"/>
      <c r="M361" s="1"/>
      <c r="N361" s="1"/>
      <c r="O361" s="1"/>
      <c r="P361" s="1"/>
      <c r="Q361" s="1"/>
      <c r="R361" s="1"/>
      <c r="S361" s="1"/>
      <c r="T361" s="1"/>
      <c r="U361" s="1"/>
      <c r="V361" s="1"/>
    </row>
    <row r="362" ht="12.0" customHeight="1">
      <c r="A362" s="323"/>
      <c r="B362" s="324" t="s">
        <v>634</v>
      </c>
      <c r="C362" s="153"/>
      <c r="D362" s="153"/>
      <c r="E362" s="153"/>
      <c r="F362" s="153"/>
      <c r="G362" s="153"/>
      <c r="H362" s="153"/>
      <c r="I362" s="73"/>
      <c r="K362" s="1"/>
      <c r="L362" s="1"/>
      <c r="M362" s="1"/>
      <c r="N362" s="1"/>
      <c r="O362" s="1"/>
      <c r="P362" s="1"/>
      <c r="Q362" s="1"/>
      <c r="R362" s="1"/>
      <c r="S362" s="1"/>
      <c r="T362" s="1"/>
      <c r="U362" s="1"/>
      <c r="V362" s="1"/>
    </row>
    <row r="363" ht="12.0" customHeight="1">
      <c r="A363" s="323"/>
      <c r="B363" s="325"/>
      <c r="C363" s="325"/>
      <c r="D363" s="325"/>
      <c r="E363" s="326"/>
      <c r="F363" s="327"/>
      <c r="G363" s="326"/>
      <c r="H363" s="326"/>
      <c r="I363" s="326"/>
      <c r="J363" s="1"/>
      <c r="K363" s="1"/>
      <c r="L363" s="1"/>
      <c r="M363" s="1"/>
      <c r="N363" s="1"/>
      <c r="O363" s="1"/>
      <c r="P363" s="1"/>
      <c r="Q363" s="1"/>
      <c r="R363" s="1"/>
      <c r="S363" s="1"/>
      <c r="T363" s="1"/>
      <c r="U363" s="1"/>
      <c r="V363" s="1"/>
    </row>
    <row r="364" ht="12.0" customHeight="1">
      <c r="A364" s="323"/>
      <c r="B364" s="116" t="s">
        <v>210</v>
      </c>
      <c r="C364" s="168">
        <f>MAX(18/C32, 6)</f>
        <v>6</v>
      </c>
      <c r="D364" s="204">
        <f>ROUNDUP((1+C373+D48+ROUNDUP((C364),0))/2, 0)</f>
        <v>10</v>
      </c>
      <c r="E364" s="154" t="str">
        <f>DEC2HEX(((D364)*2^24),8)</f>
        <v>0A000000</v>
      </c>
      <c r="F364" s="155" t="s">
        <v>635</v>
      </c>
      <c r="G364" s="156" t="s">
        <v>636</v>
      </c>
      <c r="H364" s="156" t="str">
        <f>"0x"&amp;DEC2HEX((HEX2DEC(C36)+256), 8)</f>
        <v>0x3D402100</v>
      </c>
      <c r="I364" s="157" t="str">
        <f>"0x"&amp;DEC2HEX((HEX2DEC(E364)+HEX2DEC(E365)+HEX2DEC(E366)+HEX2DEC(E367)), 8)</f>
        <v>0x0A040305</v>
      </c>
      <c r="J364" s="134"/>
      <c r="K364" s="1"/>
      <c r="L364" s="1"/>
      <c r="M364" s="1"/>
      <c r="N364" s="1"/>
      <c r="O364" s="1"/>
      <c r="P364" s="1"/>
      <c r="Q364" s="1"/>
      <c r="R364" s="1"/>
      <c r="S364" s="1"/>
      <c r="T364" s="1"/>
      <c r="U364" s="1"/>
      <c r="V364" s="1"/>
    </row>
    <row r="365" ht="12.0" customHeight="1">
      <c r="A365" s="323"/>
      <c r="B365" s="123" t="s">
        <v>213</v>
      </c>
      <c r="C365" s="133">
        <f t="shared" ref="C365:C366" si="9">C117</f>
        <v>40</v>
      </c>
      <c r="D365" s="129">
        <f>ROUNDUP(((C365/C32)/2),0)</f>
        <v>4</v>
      </c>
      <c r="E365" s="206" t="str">
        <f>DEC2HEX(((D365)*2^16),8)</f>
        <v>00040000</v>
      </c>
      <c r="F365" s="207" t="s">
        <v>635</v>
      </c>
      <c r="G365" s="60"/>
      <c r="H365" s="60"/>
      <c r="I365" s="164"/>
      <c r="J365" s="1"/>
      <c r="K365" s="1"/>
      <c r="L365" s="1"/>
      <c r="M365" s="1"/>
      <c r="N365" s="1"/>
      <c r="O365" s="1"/>
      <c r="P365" s="1"/>
      <c r="Q365" s="1"/>
      <c r="R365" s="1"/>
      <c r="S365" s="1"/>
      <c r="T365" s="1"/>
      <c r="U365" s="1"/>
      <c r="V365" s="1"/>
    </row>
    <row r="366" ht="12.0" customHeight="1">
      <c r="A366" s="323"/>
      <c r="B366" s="128" t="s">
        <v>215</v>
      </c>
      <c r="C366" s="133">
        <f t="shared" si="9"/>
        <v>35136</v>
      </c>
      <c r="D366" s="177">
        <f>IF(ROUNDDOWN(((C366/C32 - 1)/2/1024),0)&lt;1, 1, ROUNDDOWN(((C366/C32 - 1)/2/1024),0))</f>
        <v>3</v>
      </c>
      <c r="E366" s="130" t="str">
        <f>DEC2HEX(((D366)*2^8),8)</f>
        <v>00000300</v>
      </c>
      <c r="F366" s="131" t="s">
        <v>635</v>
      </c>
      <c r="G366" s="60"/>
      <c r="H366" s="60"/>
      <c r="I366" s="164"/>
      <c r="J366" s="1"/>
      <c r="K366" s="1"/>
      <c r="L366" s="1"/>
      <c r="M366" s="1"/>
      <c r="N366" s="1"/>
      <c r="O366" s="1"/>
      <c r="P366" s="1"/>
      <c r="Q366" s="1"/>
      <c r="R366" s="1"/>
      <c r="S366" s="1"/>
      <c r="T366" s="1"/>
      <c r="U366" s="1"/>
      <c r="V366" s="1"/>
    </row>
    <row r="367" ht="12.0" customHeight="1">
      <c r="A367" s="323"/>
      <c r="B367" s="135" t="s">
        <v>217</v>
      </c>
      <c r="C367" s="171">
        <f>IF(G40 = "Option 2", MAX((42+1.875)/C32, 3), MAX(42/C32, 3))</f>
        <v>8.4</v>
      </c>
      <c r="D367" s="137">
        <f>ROUNDUP((C367)/2,0)</f>
        <v>5</v>
      </c>
      <c r="E367" s="138" t="str">
        <f>DEC2HEX(((D367)*2^0),8)</f>
        <v>00000005</v>
      </c>
      <c r="F367" s="139" t="s">
        <v>635</v>
      </c>
      <c r="G367" s="140"/>
      <c r="H367" s="140"/>
      <c r="I367" s="50"/>
      <c r="J367" s="1"/>
      <c r="K367" s="1"/>
      <c r="L367" s="1"/>
      <c r="M367" s="1"/>
      <c r="N367" s="1"/>
      <c r="O367" s="1"/>
      <c r="P367" s="1"/>
      <c r="Q367" s="1"/>
      <c r="R367" s="1"/>
      <c r="S367" s="1"/>
      <c r="T367" s="1"/>
      <c r="U367" s="1"/>
      <c r="V367" s="1"/>
    </row>
    <row r="368" ht="11.25" customHeight="1">
      <c r="A368" s="323"/>
      <c r="B368" s="109"/>
      <c r="C368" s="141"/>
      <c r="D368" s="141"/>
      <c r="E368" s="142"/>
      <c r="F368" s="143"/>
      <c r="G368" s="142"/>
      <c r="H368" s="142"/>
      <c r="I368" s="142"/>
      <c r="J368" s="1"/>
      <c r="K368" s="1"/>
      <c r="L368" s="1"/>
      <c r="M368" s="1"/>
      <c r="N368" s="1"/>
      <c r="O368" s="1"/>
      <c r="P368" s="1"/>
      <c r="Q368" s="1"/>
      <c r="R368" s="1"/>
      <c r="S368" s="1"/>
      <c r="T368" s="1"/>
      <c r="U368" s="1"/>
      <c r="V368" s="1"/>
    </row>
    <row r="369" ht="12.0" customHeight="1">
      <c r="A369" s="323"/>
      <c r="B369" s="116" t="s">
        <v>219</v>
      </c>
      <c r="C369" s="168">
        <f>MAX(7.5/C32, 5)</f>
        <v>5</v>
      </c>
      <c r="D369" s="173">
        <f t="shared" ref="D369:D370" si="10">ROUNDUP((C369)/2,0)</f>
        <v>3</v>
      </c>
      <c r="E369" s="154" t="str">
        <f>DEC2HEX(((D369)*2^16),8)</f>
        <v>00030000</v>
      </c>
      <c r="F369" s="193" t="s">
        <v>635</v>
      </c>
      <c r="G369" s="156" t="s">
        <v>637</v>
      </c>
      <c r="H369" s="156" t="str">
        <f>"0x"&amp;DEC2HEX((HEX2DEC(C36)+260), 8)</f>
        <v>0x3D402104</v>
      </c>
      <c r="I369" s="157" t="str">
        <f>"0x"&amp;DEC2HEX((HEX2DEC(E369)+HEX2DEC(E370)+HEX2DEC(E371)), 8)</f>
        <v>0x00030407</v>
      </c>
      <c r="J369" s="1"/>
      <c r="K369" s="1"/>
      <c r="L369" s="1"/>
      <c r="M369" s="1"/>
      <c r="N369" s="1"/>
      <c r="O369" s="1"/>
      <c r="P369" s="1"/>
      <c r="Q369" s="1"/>
      <c r="R369" s="1"/>
      <c r="S369" s="1"/>
      <c r="T369" s="1"/>
      <c r="U369" s="1"/>
      <c r="V369" s="1"/>
    </row>
    <row r="370" ht="12.0" customHeight="1">
      <c r="A370" s="323"/>
      <c r="B370" s="128" t="s">
        <v>222</v>
      </c>
      <c r="C370" s="133">
        <f>MAX(7.5/C32, 8)</f>
        <v>8</v>
      </c>
      <c r="D370" s="129">
        <f t="shared" si="10"/>
        <v>4</v>
      </c>
      <c r="E370" s="130" t="str">
        <f>DEC2HEX(((D370)*2^8),8)</f>
        <v>00000400</v>
      </c>
      <c r="F370" s="203" t="s">
        <v>635</v>
      </c>
      <c r="G370" s="60"/>
      <c r="H370" s="60"/>
      <c r="I370" s="164"/>
      <c r="J370" s="208"/>
      <c r="K370" s="1"/>
      <c r="L370" s="1"/>
      <c r="M370" s="1"/>
      <c r="N370" s="1"/>
      <c r="O370" s="1"/>
      <c r="P370" s="1"/>
      <c r="Q370" s="1"/>
      <c r="R370" s="1"/>
      <c r="S370" s="1"/>
      <c r="T370" s="1"/>
      <c r="U370" s="1"/>
      <c r="V370" s="1"/>
    </row>
    <row r="371" ht="12.0" customHeight="1">
      <c r="A371" s="323"/>
      <c r="B371" s="135" t="s">
        <v>224</v>
      </c>
      <c r="C371" s="171">
        <f>IF(G40 = "Option 2", MAX((21+1.875)/C32, 4), MAX(21/C32, 4))</f>
        <v>4.2</v>
      </c>
      <c r="D371" s="171">
        <f>ROUNDUP(((C371+C367)/2),0)</f>
        <v>7</v>
      </c>
      <c r="E371" s="138" t="str">
        <f>DEC2HEX(((D371)*2^0),8)</f>
        <v>00000007</v>
      </c>
      <c r="F371" s="195" t="s">
        <v>635</v>
      </c>
      <c r="G371" s="140"/>
      <c r="H371" s="140"/>
      <c r="I371" s="50"/>
      <c r="J371" s="1"/>
      <c r="K371" s="1"/>
      <c r="L371" s="1"/>
      <c r="M371" s="1"/>
      <c r="N371" s="1"/>
      <c r="O371" s="1"/>
      <c r="P371" s="1"/>
      <c r="Q371" s="1"/>
      <c r="R371" s="1"/>
      <c r="S371" s="1"/>
      <c r="T371" s="1"/>
      <c r="U371" s="1"/>
      <c r="V371" s="1"/>
    </row>
    <row r="372" ht="12.0" customHeight="1">
      <c r="A372" s="323"/>
      <c r="B372" s="109"/>
      <c r="C372" s="109"/>
      <c r="D372" s="109"/>
      <c r="E372" s="142"/>
      <c r="F372" s="151"/>
      <c r="G372" s="142"/>
      <c r="H372" s="142"/>
      <c r="I372" s="142"/>
      <c r="J372" s="1"/>
      <c r="K372" s="1"/>
      <c r="L372" s="1"/>
      <c r="M372" s="1"/>
      <c r="N372" s="1"/>
      <c r="O372" s="1"/>
      <c r="P372" s="1"/>
      <c r="Q372" s="1"/>
      <c r="R372" s="1"/>
      <c r="S372" s="1"/>
      <c r="T372" s="1"/>
      <c r="U372" s="1"/>
      <c r="V372" s="1"/>
    </row>
    <row r="373" ht="12.0" customHeight="1">
      <c r="A373" s="323"/>
      <c r="B373" s="116" t="s">
        <v>228</v>
      </c>
      <c r="C373" s="216">
        <f>IF(C31&lt;201,4,(IF(C31&lt;534,6,IF(C31&lt;801,8,IF(C31&lt;1066,10,IF(C31&lt;1333,12,14))))))</f>
        <v>4</v>
      </c>
      <c r="D373" s="173">
        <f t="shared" ref="D373:D374" si="11">ROUNDUP((C373)/2,0)</f>
        <v>2</v>
      </c>
      <c r="E373" s="154" t="str">
        <f>DEC2HEX(((D373)*2^24),8)</f>
        <v>02000000</v>
      </c>
      <c r="F373" s="193" t="s">
        <v>635</v>
      </c>
      <c r="G373" s="156" t="s">
        <v>638</v>
      </c>
      <c r="H373" s="156" t="str">
        <f>"0x"&amp;DEC2HEX((HEX2DEC(C36)+264), 8)</f>
        <v>0x3D402108</v>
      </c>
      <c r="I373" s="157" t="str">
        <f>"0x"&amp;DEC2HEX((HEX2DEC(E373)+HEX2DEC(E374)+HEX2DEC(E375)+HEX2DEC(E376)), 8)</f>
        <v>0x0203060B</v>
      </c>
      <c r="J373" s="134"/>
      <c r="K373" s="1"/>
      <c r="L373" s="1"/>
      <c r="M373" s="1"/>
      <c r="N373" s="1"/>
      <c r="O373" s="1"/>
      <c r="P373" s="1"/>
      <c r="Q373" s="1"/>
      <c r="R373" s="1"/>
      <c r="S373" s="1"/>
      <c r="T373" s="1"/>
      <c r="U373" s="1"/>
      <c r="V373" s="1"/>
    </row>
    <row r="374" ht="12.0" customHeight="1">
      <c r="A374" s="323"/>
      <c r="B374" s="123" t="s">
        <v>231</v>
      </c>
      <c r="C374" s="176">
        <f>IF(C31&lt;201, 6,  IF(D222=1, IF(C31&lt;534, 12, IF(C31&lt;801, 16, IF(C31&lt;1066, 22, IF(C31&lt;1333, 28, 32)))), IF(C31&lt;534, 10, IF(C31&lt;801, 14, IF(C31&lt;1066, 20, IF(C31&lt;1333, 24, 28))))))</f>
        <v>6</v>
      </c>
      <c r="D374" s="129">
        <f t="shared" si="11"/>
        <v>3</v>
      </c>
      <c r="E374" s="206" t="str">
        <f>DEC2HEX(((D374)*2^16),8)</f>
        <v>00030000</v>
      </c>
      <c r="F374" s="203" t="s">
        <v>635</v>
      </c>
      <c r="G374" s="60"/>
      <c r="H374" s="60"/>
      <c r="I374" s="164"/>
      <c r="J374" s="134"/>
      <c r="K374" s="1"/>
      <c r="L374" s="1"/>
      <c r="M374" s="1"/>
      <c r="N374" s="1"/>
      <c r="O374" s="1"/>
      <c r="P374" s="1"/>
      <c r="Q374" s="1"/>
      <c r="R374" s="1"/>
      <c r="S374" s="1"/>
      <c r="T374" s="1"/>
      <c r="U374" s="1"/>
      <c r="V374" s="1"/>
    </row>
    <row r="375" ht="12.0" customHeight="1">
      <c r="A375" s="323"/>
      <c r="B375" s="128" t="s">
        <v>233</v>
      </c>
      <c r="C375" s="133">
        <f>C129</f>
        <v>3.6</v>
      </c>
      <c r="D375" s="217">
        <f>ROUNDUP((C374+D48+ROUNDUP(C375/C32, 0) + (0.5+D452) - (IF(C31&lt;1333, 4, 6)) -ROUNDUP((1.5/C32),0) ) /2,0)</f>
        <v>6</v>
      </c>
      <c r="E375" s="130" t="str">
        <f>DEC2HEX(((D375)*2^8),8)</f>
        <v>00000600</v>
      </c>
      <c r="F375" s="203" t="s">
        <v>635</v>
      </c>
      <c r="G375" s="60"/>
      <c r="H375" s="60"/>
      <c r="I375" s="164"/>
      <c r="J375" s="218"/>
      <c r="K375" s="1"/>
      <c r="L375" s="1"/>
      <c r="M375" s="1"/>
      <c r="N375" s="1"/>
      <c r="O375" s="1"/>
      <c r="P375" s="1"/>
      <c r="Q375" s="1"/>
      <c r="R375" s="1"/>
      <c r="S375" s="1"/>
      <c r="T375" s="1"/>
      <c r="U375" s="1"/>
      <c r="V375" s="1"/>
    </row>
    <row r="376" ht="12.0" customHeight="1">
      <c r="A376" s="323"/>
      <c r="B376" s="135" t="s">
        <v>236</v>
      </c>
      <c r="C376" s="171">
        <f>MAX(10/C32, 8)</f>
        <v>8</v>
      </c>
      <c r="D376" s="171">
        <f>ROUNDUP((C373+D48+ C376  + 1)/2, 0)</f>
        <v>11</v>
      </c>
      <c r="E376" s="138" t="str">
        <f>DEC2HEX(((D376)*2^0),8)</f>
        <v>0000000B</v>
      </c>
      <c r="F376" s="195" t="s">
        <v>635</v>
      </c>
      <c r="G376" s="140"/>
      <c r="H376" s="140"/>
      <c r="I376" s="50"/>
      <c r="J376" s="218"/>
      <c r="K376" s="1"/>
      <c r="L376" s="1"/>
      <c r="M376" s="1"/>
      <c r="N376" s="1"/>
      <c r="O376" s="1"/>
      <c r="P376" s="1"/>
      <c r="Q376" s="1"/>
      <c r="R376" s="1"/>
      <c r="S376" s="1"/>
      <c r="T376" s="1"/>
      <c r="U376" s="1"/>
      <c r="V376" s="1"/>
    </row>
    <row r="377" ht="12.0" customHeight="1">
      <c r="A377" s="323"/>
      <c r="B377" s="109"/>
      <c r="C377" s="109"/>
      <c r="D377" s="109"/>
      <c r="E377" s="142"/>
      <c r="F377" s="151"/>
      <c r="G377" s="142"/>
      <c r="H377" s="142"/>
      <c r="I377" s="142"/>
      <c r="J377" s="1"/>
      <c r="K377" s="1"/>
      <c r="L377" s="1"/>
      <c r="M377" s="1"/>
      <c r="N377" s="1"/>
      <c r="O377" s="1"/>
      <c r="P377" s="1"/>
      <c r="Q377" s="1"/>
      <c r="R377" s="1"/>
      <c r="S377" s="1"/>
      <c r="T377" s="1"/>
      <c r="U377" s="1"/>
      <c r="V377" s="1"/>
    </row>
    <row r="378" ht="12.0" customHeight="1">
      <c r="A378" s="323"/>
      <c r="B378" s="116" t="s">
        <v>238</v>
      </c>
      <c r="C378" s="168">
        <f>MAX(14/C32, 10)</f>
        <v>10</v>
      </c>
      <c r="D378" s="168">
        <f t="shared" ref="D378:D379" si="12">ROUNDUP((C378)/2,0)</f>
        <v>5</v>
      </c>
      <c r="E378" s="154" t="str">
        <f>DEC2HEX(((D378)*2^20),8)</f>
        <v>00500000</v>
      </c>
      <c r="F378" s="193" t="s">
        <v>635</v>
      </c>
      <c r="G378" s="156" t="s">
        <v>639</v>
      </c>
      <c r="H378" s="156" t="str">
        <f>"0x"&amp;DEC2HEX((HEX2DEC(C36)+268), 8)</f>
        <v>0x3D40210C</v>
      </c>
      <c r="I378" s="157" t="str">
        <f>"0x"&amp;DEC2HEX((HEX2DEC(E378)+HEX2DEC(E379)+HEX2DEC(E380)), 8)</f>
        <v>0x00505000</v>
      </c>
      <c r="J378" s="1"/>
      <c r="K378" s="1"/>
      <c r="L378" s="1"/>
      <c r="M378" s="1"/>
      <c r="N378" s="1"/>
      <c r="O378" s="1"/>
      <c r="P378" s="1"/>
      <c r="Q378" s="1"/>
      <c r="R378" s="1"/>
      <c r="S378" s="1"/>
      <c r="T378" s="1"/>
      <c r="U378" s="1"/>
      <c r="V378" s="1"/>
    </row>
    <row r="379" ht="12.0" customHeight="1">
      <c r="A379" s="323"/>
      <c r="B379" s="128" t="s">
        <v>241</v>
      </c>
      <c r="C379" s="133">
        <f>MAX(14/C32, 10)</f>
        <v>10</v>
      </c>
      <c r="D379" s="328">
        <f t="shared" si="12"/>
        <v>5</v>
      </c>
      <c r="E379" s="130" t="str">
        <f>DEC2HEX(((D379)*2^12),8)</f>
        <v>00005000</v>
      </c>
      <c r="F379" s="203" t="s">
        <v>635</v>
      </c>
      <c r="G379" s="60"/>
      <c r="H379" s="60"/>
      <c r="I379" s="164"/>
      <c r="J379" s="1"/>
      <c r="K379" s="1"/>
      <c r="L379" s="1"/>
      <c r="M379" s="1"/>
      <c r="N379" s="1"/>
      <c r="O379" s="1"/>
      <c r="P379" s="1"/>
      <c r="Q379" s="1"/>
      <c r="R379" s="1"/>
      <c r="S379" s="1"/>
      <c r="T379" s="1"/>
      <c r="U379" s="1"/>
      <c r="V379" s="1"/>
    </row>
    <row r="380" ht="12.0" customHeight="1">
      <c r="A380" s="323"/>
      <c r="B380" s="135" t="s">
        <v>243</v>
      </c>
      <c r="C380" s="136">
        <v>0.0</v>
      </c>
      <c r="D380" s="137">
        <f>(C380/2)</f>
        <v>0</v>
      </c>
      <c r="E380" s="138" t="str">
        <f>DEC2HEX(((D380)*2^0),8)</f>
        <v>00000000</v>
      </c>
      <c r="F380" s="195" t="s">
        <v>635</v>
      </c>
      <c r="G380" s="140"/>
      <c r="H380" s="140"/>
      <c r="I380" s="50"/>
      <c r="J380" s="194"/>
      <c r="K380" s="1"/>
      <c r="L380" s="1"/>
      <c r="M380" s="1"/>
      <c r="N380" s="1"/>
      <c r="O380" s="1"/>
      <c r="P380" s="1"/>
      <c r="Q380" s="1"/>
      <c r="R380" s="1"/>
      <c r="S380" s="1"/>
      <c r="T380" s="1"/>
      <c r="U380" s="1"/>
      <c r="V380" s="1"/>
    </row>
    <row r="381" ht="12.0" customHeight="1">
      <c r="A381" s="323"/>
      <c r="B381" s="109"/>
      <c r="C381" s="109"/>
      <c r="D381" s="109"/>
      <c r="E381" s="142"/>
      <c r="F381" s="151"/>
      <c r="G381" s="142"/>
      <c r="H381" s="142"/>
      <c r="I381" s="142"/>
      <c r="J381" s="1"/>
      <c r="K381" s="1"/>
      <c r="L381" s="1"/>
      <c r="M381" s="1"/>
      <c r="N381" s="1"/>
      <c r="O381" s="1"/>
      <c r="P381" s="1"/>
      <c r="Q381" s="1"/>
      <c r="R381" s="1"/>
      <c r="S381" s="1"/>
      <c r="T381" s="1"/>
      <c r="U381" s="1"/>
      <c r="V381" s="1"/>
    </row>
    <row r="382" ht="12.0" customHeight="1">
      <c r="A382" s="323"/>
      <c r="B382" s="116" t="s">
        <v>245</v>
      </c>
      <c r="C382" s="168">
        <f>IF((G40 = "Option 2"), MAX((18+1.875)/C32, 4), MAX(18/C32, 4))</f>
        <v>4</v>
      </c>
      <c r="D382" s="173">
        <f>ROUNDUP(((C382)/2),0)</f>
        <v>2</v>
      </c>
      <c r="E382" s="154" t="str">
        <f>DEC2HEX(((D382)*2^24),8)</f>
        <v>02000000</v>
      </c>
      <c r="F382" s="193" t="s">
        <v>635</v>
      </c>
      <c r="G382" s="156" t="s">
        <v>640</v>
      </c>
      <c r="H382" s="156" t="str">
        <f>"0x"&amp;DEC2HEX((HEX2DEC(C36)+272), 8)</f>
        <v>0x3D402110</v>
      </c>
      <c r="I382" s="157" t="str">
        <f>"0x"&amp;DEC2HEX((HEX2DEC(E382)+HEX2DEC(E383)+HEX2DEC(E384)+HEX2DEC(E385)), 8)</f>
        <v>0x02040202</v>
      </c>
      <c r="J382" s="1"/>
      <c r="K382" s="1"/>
      <c r="L382" s="1"/>
      <c r="M382" s="1"/>
      <c r="N382" s="1"/>
      <c r="O382" s="1"/>
      <c r="P382" s="1"/>
      <c r="Q382" s="1"/>
      <c r="R382" s="1"/>
      <c r="S382" s="1"/>
      <c r="T382" s="1"/>
      <c r="U382" s="1"/>
      <c r="V382" s="1"/>
    </row>
    <row r="383" ht="12.0" customHeight="1">
      <c r="A383" s="323"/>
      <c r="B383" s="128" t="s">
        <v>248</v>
      </c>
      <c r="C383" s="132">
        <v>8.0</v>
      </c>
      <c r="D383" s="129">
        <f>ROUNDUP(C383/2, 0)</f>
        <v>4</v>
      </c>
      <c r="E383" s="130" t="str">
        <f>DEC2HEX(((D383)*2^16),8)</f>
        <v>00040000</v>
      </c>
      <c r="F383" s="203" t="s">
        <v>635</v>
      </c>
      <c r="G383" s="60"/>
      <c r="H383" s="60"/>
      <c r="I383" s="164"/>
      <c r="J383" s="1"/>
      <c r="K383" s="1"/>
      <c r="L383" s="1"/>
      <c r="M383" s="1"/>
      <c r="N383" s="1"/>
      <c r="O383" s="1"/>
      <c r="P383" s="1"/>
      <c r="Q383" s="1"/>
      <c r="R383" s="1"/>
      <c r="S383" s="1"/>
      <c r="T383" s="1"/>
      <c r="U383" s="1"/>
      <c r="V383" s="1"/>
    </row>
    <row r="384" ht="12.0" customHeight="1">
      <c r="A384" s="323"/>
      <c r="B384" s="162" t="s">
        <v>250</v>
      </c>
      <c r="C384" s="133">
        <f>IF(G40 = "Option 2", MAX((10+1.875)/C32, 4), MAX(10/C32, 4))</f>
        <v>4</v>
      </c>
      <c r="D384" s="177">
        <f>ROUNDUP(((C384)/2),0)</f>
        <v>2</v>
      </c>
      <c r="E384" s="130" t="str">
        <f>DEC2HEX(((D384)*2^8),8)</f>
        <v>00000200</v>
      </c>
      <c r="F384" s="203" t="s">
        <v>635</v>
      </c>
      <c r="G384" s="60"/>
      <c r="H384" s="60"/>
      <c r="I384" s="164"/>
      <c r="J384" s="1"/>
      <c r="K384" s="1"/>
      <c r="L384" s="1"/>
      <c r="M384" s="1"/>
      <c r="N384" s="1"/>
      <c r="O384" s="1"/>
      <c r="P384" s="1"/>
      <c r="Q384" s="1"/>
      <c r="R384" s="1"/>
      <c r="S384" s="1"/>
      <c r="T384" s="1"/>
      <c r="U384" s="1"/>
      <c r="V384" s="1"/>
    </row>
    <row r="385" ht="12.0" customHeight="1">
      <c r="A385" s="323"/>
      <c r="B385" s="135" t="s">
        <v>252</v>
      </c>
      <c r="C385" s="171">
        <f>IF((G40 = "Option 2"), MAX((18+1.875)/C32, 4), MAX(18/C32, 4))</f>
        <v>4</v>
      </c>
      <c r="D385" s="137">
        <f>ROUNDUP((C385)/2,0)</f>
        <v>2</v>
      </c>
      <c r="E385" s="138" t="str">
        <f>DEC2HEX(((D385)*2^0),8)</f>
        <v>00000002</v>
      </c>
      <c r="F385" s="195" t="s">
        <v>635</v>
      </c>
      <c r="G385" s="140"/>
      <c r="H385" s="140"/>
      <c r="I385" s="50"/>
      <c r="J385" s="218"/>
      <c r="K385" s="1"/>
      <c r="L385" s="1"/>
      <c r="M385" s="1"/>
      <c r="N385" s="1"/>
      <c r="O385" s="1"/>
      <c r="P385" s="1"/>
      <c r="Q385" s="1"/>
      <c r="R385" s="1"/>
      <c r="S385" s="1"/>
      <c r="T385" s="1"/>
      <c r="U385" s="1"/>
      <c r="V385" s="1"/>
    </row>
    <row r="386" ht="13.5" customHeight="1">
      <c r="A386" s="323"/>
      <c r="B386" s="159"/>
      <c r="C386" s="159"/>
      <c r="D386" s="159"/>
      <c r="E386" s="160"/>
      <c r="F386" s="151"/>
      <c r="G386" s="142"/>
      <c r="H386" s="142"/>
      <c r="I386" s="142"/>
      <c r="J386" s="1"/>
      <c r="K386" s="1"/>
      <c r="L386" s="1"/>
      <c r="M386" s="1"/>
      <c r="N386" s="1"/>
      <c r="O386" s="1"/>
      <c r="P386" s="1"/>
      <c r="Q386" s="1"/>
      <c r="R386" s="1"/>
      <c r="S386" s="1"/>
      <c r="T386" s="1"/>
      <c r="U386" s="1"/>
      <c r="V386" s="1"/>
    </row>
    <row r="387" ht="12.0" customHeight="1">
      <c r="A387" s="323"/>
      <c r="B387" s="116" t="s">
        <v>254</v>
      </c>
      <c r="C387" s="168">
        <f>MAX(1.75/C32, 3)</f>
        <v>3</v>
      </c>
      <c r="D387" s="173">
        <f t="shared" ref="D387:D390" si="13">ROUNDUP(((C387)/2),0)</f>
        <v>2</v>
      </c>
      <c r="E387" s="154" t="str">
        <f>DEC2HEX(((D387)*2^24),8)</f>
        <v>02000000</v>
      </c>
      <c r="F387" s="193" t="s">
        <v>635</v>
      </c>
      <c r="G387" s="156" t="s">
        <v>641</v>
      </c>
      <c r="H387" s="156" t="str">
        <f>"0x"&amp;DEC2HEX((HEX2DEC(C36)+276), 8)</f>
        <v>0x3D402114</v>
      </c>
      <c r="I387" s="157" t="str">
        <f>"0x"&amp;DEC2HEX((HEX2DEC(E387)+HEX2DEC(E388)+HEX2DEC(E389)+HEX2DEC(E390)), 8)</f>
        <v>0x02030202</v>
      </c>
      <c r="J387" s="220"/>
      <c r="K387" s="1"/>
      <c r="L387" s="1"/>
      <c r="M387" s="1"/>
      <c r="N387" s="1"/>
      <c r="O387" s="1"/>
      <c r="P387" s="1"/>
      <c r="Q387" s="1"/>
      <c r="R387" s="1"/>
      <c r="S387" s="1"/>
      <c r="T387" s="1"/>
      <c r="U387" s="1"/>
      <c r="V387" s="1"/>
    </row>
    <row r="388" ht="12.0" customHeight="1">
      <c r="A388" s="323"/>
      <c r="B388" s="128" t="s">
        <v>257</v>
      </c>
      <c r="C388" s="133">
        <f>MAX(5/C32, 5)</f>
        <v>5</v>
      </c>
      <c r="D388" s="129">
        <f t="shared" si="13"/>
        <v>3</v>
      </c>
      <c r="E388" s="130" t="str">
        <f>DEC2HEX(((D388)*2^16),8)</f>
        <v>00030000</v>
      </c>
      <c r="F388" s="203" t="s">
        <v>635</v>
      </c>
      <c r="G388" s="60"/>
      <c r="H388" s="60"/>
      <c r="I388" s="164"/>
      <c r="J388" s="220"/>
      <c r="K388" s="1"/>
      <c r="L388" s="1"/>
      <c r="M388" s="1"/>
      <c r="N388" s="1"/>
      <c r="O388" s="1"/>
      <c r="P388" s="1"/>
      <c r="Q388" s="1"/>
      <c r="R388" s="1"/>
      <c r="S388" s="1"/>
      <c r="T388" s="1"/>
      <c r="U388" s="1"/>
      <c r="V388" s="1"/>
    </row>
    <row r="389" ht="12.0" customHeight="1">
      <c r="A389" s="323"/>
      <c r="B389" s="162" t="s">
        <v>259</v>
      </c>
      <c r="C389" s="133">
        <f>MAX(15/C32, 4)</f>
        <v>4</v>
      </c>
      <c r="D389" s="221">
        <f t="shared" si="13"/>
        <v>2</v>
      </c>
      <c r="E389" s="181" t="str">
        <f>DEC2HEX(((D389)*2^8),8)</f>
        <v>00000200</v>
      </c>
      <c r="F389" s="203" t="s">
        <v>635</v>
      </c>
      <c r="G389" s="60"/>
      <c r="H389" s="60"/>
      <c r="I389" s="164"/>
      <c r="J389" s="1"/>
      <c r="K389" s="1"/>
      <c r="L389" s="1"/>
      <c r="M389" s="1"/>
      <c r="N389" s="1"/>
      <c r="O389" s="1"/>
      <c r="P389" s="1"/>
      <c r="Q389" s="1"/>
      <c r="R389" s="1"/>
      <c r="S389" s="1"/>
      <c r="T389" s="1"/>
      <c r="U389" s="1"/>
      <c r="V389" s="1"/>
    </row>
    <row r="390" ht="12.0" customHeight="1">
      <c r="A390" s="323"/>
      <c r="B390" s="135" t="s">
        <v>261</v>
      </c>
      <c r="C390" s="171">
        <f>MAX(15/C32, 4)</f>
        <v>4</v>
      </c>
      <c r="D390" s="183">
        <f t="shared" si="13"/>
        <v>2</v>
      </c>
      <c r="E390" s="138" t="str">
        <f>DEC2HEX(((D390)*2^0),8)</f>
        <v>00000002</v>
      </c>
      <c r="F390" s="195" t="s">
        <v>635</v>
      </c>
      <c r="G390" s="140"/>
      <c r="H390" s="140"/>
      <c r="I390" s="50"/>
      <c r="J390" s="1"/>
      <c r="K390" s="1"/>
      <c r="L390" s="1"/>
      <c r="M390" s="1"/>
      <c r="N390" s="1"/>
      <c r="O390" s="1"/>
      <c r="P390" s="1"/>
      <c r="Q390" s="1"/>
      <c r="R390" s="1"/>
      <c r="S390" s="1"/>
      <c r="T390" s="1"/>
      <c r="U390" s="1"/>
      <c r="V390" s="1"/>
    </row>
    <row r="391" ht="12.0" customHeight="1">
      <c r="A391" s="323"/>
      <c r="B391" s="109"/>
      <c r="C391" s="109"/>
      <c r="D391" s="109"/>
      <c r="E391" s="142"/>
      <c r="F391" s="151"/>
      <c r="G391" s="142"/>
      <c r="H391" s="142"/>
      <c r="I391" s="142"/>
      <c r="J391" s="1"/>
      <c r="K391" s="1"/>
      <c r="L391" s="1"/>
      <c r="M391" s="1"/>
      <c r="N391" s="1"/>
      <c r="O391" s="1"/>
      <c r="P391" s="1"/>
      <c r="Q391" s="1"/>
      <c r="R391" s="1"/>
      <c r="S391" s="1"/>
      <c r="T391" s="1"/>
      <c r="U391" s="1"/>
      <c r="V391" s="1"/>
    </row>
    <row r="392" ht="12.0" customHeight="1">
      <c r="A392" s="323"/>
      <c r="B392" s="116" t="s">
        <v>264</v>
      </c>
      <c r="C392" s="154">
        <v>2.0</v>
      </c>
      <c r="D392" s="119">
        <f t="shared" ref="D392:D393" si="14">(C392/2)</f>
        <v>1</v>
      </c>
      <c r="E392" s="154" t="str">
        <f>DEC2HEX(((D392)*2^24),8)</f>
        <v>01000000</v>
      </c>
      <c r="F392" s="193" t="s">
        <v>635</v>
      </c>
      <c r="G392" s="156" t="s">
        <v>642</v>
      </c>
      <c r="H392" s="156" t="str">
        <f>"0x"&amp;DEC2HEX((HEX2DEC(C36)+280), 8)</f>
        <v>0x3D402118</v>
      </c>
      <c r="I392" s="157" t="str">
        <f>"0x"&amp;DEC2HEX((HEX2DEC(E392)+HEX2DEC(E393)+HEX2DEC(E394)), 8)</f>
        <v>0x01010004</v>
      </c>
      <c r="J392" s="1"/>
      <c r="K392" s="1"/>
      <c r="L392" s="1"/>
      <c r="M392" s="1"/>
      <c r="N392" s="1"/>
      <c r="O392" s="1"/>
      <c r="P392" s="1"/>
      <c r="Q392" s="1"/>
      <c r="R392" s="1"/>
      <c r="S392" s="1"/>
      <c r="T392" s="1"/>
      <c r="U392" s="1"/>
      <c r="V392" s="1"/>
    </row>
    <row r="393" ht="12.0" customHeight="1">
      <c r="A393" s="323"/>
      <c r="B393" s="222" t="s">
        <v>267</v>
      </c>
      <c r="C393" s="130">
        <v>2.0</v>
      </c>
      <c r="D393" s="132">
        <f t="shared" si="14"/>
        <v>1</v>
      </c>
      <c r="E393" s="223" t="str">
        <f>DEC2HEX(((D393)*2^16),8)</f>
        <v>00010000</v>
      </c>
      <c r="F393" s="203" t="s">
        <v>635</v>
      </c>
      <c r="G393" s="60"/>
      <c r="H393" s="60"/>
      <c r="I393" s="164"/>
      <c r="J393" s="1"/>
      <c r="K393" s="1"/>
      <c r="L393" s="1"/>
      <c r="M393" s="1"/>
      <c r="N393" s="1"/>
      <c r="O393" s="1"/>
      <c r="P393" s="1"/>
      <c r="Q393" s="1"/>
      <c r="R393" s="1"/>
      <c r="S393" s="1"/>
      <c r="T393" s="1"/>
      <c r="U393" s="1"/>
      <c r="V393" s="1"/>
    </row>
    <row r="394" ht="12.0" customHeight="1">
      <c r="A394" s="323"/>
      <c r="B394" s="135" t="s">
        <v>269</v>
      </c>
      <c r="C394" s="225" t="s">
        <v>91</v>
      </c>
      <c r="D394" s="137">
        <f>ROUNDUP(((C369)+2)/2,0)</f>
        <v>4</v>
      </c>
      <c r="E394" s="138" t="str">
        <f>DEC2HEX(((D394)*2^0),8)</f>
        <v>00000004</v>
      </c>
      <c r="F394" s="195" t="s">
        <v>635</v>
      </c>
      <c r="G394" s="140"/>
      <c r="H394" s="140"/>
      <c r="I394" s="50"/>
      <c r="J394" s="1"/>
      <c r="K394" s="1"/>
      <c r="L394" s="1"/>
      <c r="M394" s="1"/>
      <c r="N394" s="1"/>
      <c r="O394" s="1"/>
      <c r="P394" s="1"/>
      <c r="Q394" s="1"/>
      <c r="R394" s="1"/>
      <c r="S394" s="1"/>
      <c r="T394" s="1"/>
      <c r="U394" s="1"/>
      <c r="V394" s="1"/>
    </row>
    <row r="395" ht="12.0" customHeight="1">
      <c r="A395" s="323"/>
      <c r="B395" s="109"/>
      <c r="C395" s="109"/>
      <c r="D395" s="109"/>
      <c r="E395" s="142"/>
      <c r="F395" s="151"/>
      <c r="G395" s="142"/>
      <c r="H395" s="142"/>
      <c r="I395" s="142"/>
      <c r="J395" s="1"/>
      <c r="K395" s="1"/>
      <c r="L395" s="1"/>
      <c r="M395" s="1"/>
      <c r="N395" s="1"/>
      <c r="O395" s="1"/>
      <c r="P395" s="1"/>
      <c r="Q395" s="1"/>
      <c r="R395" s="1"/>
      <c r="S395" s="1"/>
      <c r="T395" s="1"/>
      <c r="U395" s="1"/>
      <c r="V395" s="1"/>
    </row>
    <row r="396" ht="12.0" customHeight="1">
      <c r="A396" s="323"/>
      <c r="B396" s="116" t="s">
        <v>272</v>
      </c>
      <c r="C396" s="216">
        <f>MAX(5/C32, 5)</f>
        <v>5</v>
      </c>
      <c r="D396" s="168">
        <f>ROUNDUP((C396)/2,0)</f>
        <v>3</v>
      </c>
      <c r="E396" s="154" t="str">
        <f>DEC2HEX(((D396)*2^8),8)</f>
        <v>00000300</v>
      </c>
      <c r="F396" s="193" t="s">
        <v>635</v>
      </c>
      <c r="G396" s="156" t="s">
        <v>643</v>
      </c>
      <c r="H396" s="156" t="str">
        <f>"0x"&amp;DEC2HEX((HEX2DEC(C36)+284), 8)</f>
        <v>0x3D40211C</v>
      </c>
      <c r="I396" s="157" t="str">
        <f>"0x"&amp;DEC2HEX((HEX2DEC(E396)+HEX2DEC(E397)), 8)</f>
        <v>0x00000301</v>
      </c>
      <c r="J396" s="220"/>
      <c r="K396" s="1"/>
      <c r="L396" s="1"/>
      <c r="M396" s="1"/>
      <c r="N396" s="1"/>
      <c r="O396" s="1"/>
      <c r="P396" s="1"/>
      <c r="Q396" s="1"/>
      <c r="R396" s="1"/>
      <c r="S396" s="1"/>
      <c r="T396" s="1"/>
      <c r="U396" s="1"/>
      <c r="V396" s="1"/>
    </row>
    <row r="397" ht="12.0" customHeight="1">
      <c r="A397" s="323"/>
      <c r="B397" s="135" t="s">
        <v>275</v>
      </c>
      <c r="C397" s="138">
        <v>2.0</v>
      </c>
      <c r="D397" s="171">
        <f>ROUNDUP(C397/2, 0)</f>
        <v>1</v>
      </c>
      <c r="E397" s="138" t="str">
        <f>DEC2HEX(((D397)*2^0),8)</f>
        <v>00000001</v>
      </c>
      <c r="F397" s="195" t="s">
        <v>635</v>
      </c>
      <c r="G397" s="140"/>
      <c r="H397" s="140"/>
      <c r="I397" s="50"/>
      <c r="J397" s="1"/>
      <c r="K397" s="1"/>
      <c r="L397" s="1"/>
      <c r="M397" s="1"/>
      <c r="N397" s="1"/>
      <c r="O397" s="1"/>
      <c r="P397" s="1"/>
      <c r="Q397" s="1"/>
      <c r="R397" s="1"/>
      <c r="S397" s="1"/>
      <c r="T397" s="1"/>
      <c r="U397" s="1"/>
      <c r="V397" s="1"/>
    </row>
    <row r="398" ht="12.0" customHeight="1">
      <c r="A398" s="323"/>
      <c r="B398" s="109"/>
      <c r="C398" s="142"/>
      <c r="D398" s="141"/>
      <c r="E398" s="142"/>
      <c r="F398" s="110"/>
      <c r="G398" s="142"/>
      <c r="H398" s="142"/>
      <c r="I398" s="142"/>
      <c r="J398" s="1"/>
      <c r="K398" s="1"/>
      <c r="L398" s="1"/>
      <c r="M398" s="1"/>
      <c r="N398" s="1"/>
      <c r="O398" s="1"/>
      <c r="P398" s="1"/>
      <c r="Q398" s="1"/>
      <c r="R398" s="1"/>
      <c r="S398" s="1"/>
      <c r="T398" s="1"/>
      <c r="U398" s="1"/>
      <c r="V398" s="1"/>
    </row>
    <row r="399" ht="12.0" customHeight="1">
      <c r="A399" s="323"/>
      <c r="B399" s="116" t="s">
        <v>277</v>
      </c>
      <c r="C399" s="168">
        <f>MAX(1.75/C32, 3)</f>
        <v>3</v>
      </c>
      <c r="D399" s="168">
        <f t="shared" ref="D399:D400" si="15">ROUNDUP(((C399)/2),0)</f>
        <v>2</v>
      </c>
      <c r="E399" s="154" t="str">
        <f>DEC2HEX(((D399)*2^16),8)</f>
        <v>00020000</v>
      </c>
      <c r="F399" s="193" t="s">
        <v>635</v>
      </c>
      <c r="G399" s="156" t="s">
        <v>644</v>
      </c>
      <c r="H399" s="156" t="str">
        <f>"0x"&amp;DEC2HEX((HEX2DEC(C36)+304), 8)</f>
        <v>0x3D402130</v>
      </c>
      <c r="I399" s="157" t="str">
        <f>"0x"&amp;DEC2HEX((HEX2DEC(E399)+HEX2DEC(E400)+HEX2DEC(E401)), 8)</f>
        <v>0x00020300</v>
      </c>
      <c r="J399" s="226"/>
      <c r="K399" s="1"/>
      <c r="L399" s="1"/>
      <c r="M399" s="1"/>
      <c r="N399" s="1"/>
      <c r="O399" s="1"/>
      <c r="P399" s="1"/>
      <c r="Q399" s="1"/>
      <c r="R399" s="1"/>
      <c r="S399" s="1"/>
      <c r="T399" s="1"/>
      <c r="U399" s="1"/>
      <c r="V399" s="1"/>
    </row>
    <row r="400" ht="12.0" customHeight="1">
      <c r="A400" s="323"/>
      <c r="B400" s="128" t="s">
        <v>280</v>
      </c>
      <c r="C400" s="133">
        <f>MAX(7.5/C32, 5)</f>
        <v>5</v>
      </c>
      <c r="D400" s="133">
        <f t="shared" si="15"/>
        <v>3</v>
      </c>
      <c r="E400" s="130" t="str">
        <f>DEC2HEX(((D400)*2^8),8)</f>
        <v>00000300</v>
      </c>
      <c r="F400" s="203" t="s">
        <v>635</v>
      </c>
      <c r="G400" s="60"/>
      <c r="H400" s="60"/>
      <c r="I400" s="164"/>
      <c r="J400" s="1"/>
      <c r="K400" s="1"/>
      <c r="L400" s="1"/>
      <c r="M400" s="1"/>
      <c r="N400" s="1"/>
      <c r="O400" s="1"/>
      <c r="P400" s="1"/>
      <c r="Q400" s="1"/>
      <c r="R400" s="1"/>
      <c r="S400" s="1"/>
      <c r="T400" s="1"/>
      <c r="U400" s="1"/>
      <c r="V400" s="1"/>
    </row>
    <row r="401" ht="12.0" customHeight="1">
      <c r="A401" s="323"/>
      <c r="B401" s="135" t="s">
        <v>282</v>
      </c>
      <c r="C401" s="227" t="s">
        <v>91</v>
      </c>
      <c r="D401" s="228">
        <v>0.0</v>
      </c>
      <c r="E401" s="138" t="str">
        <f>DEC2HEX(((D401)*2^0),8)</f>
        <v>00000000</v>
      </c>
      <c r="F401" s="195" t="s">
        <v>635</v>
      </c>
      <c r="G401" s="140"/>
      <c r="H401" s="140"/>
      <c r="I401" s="50"/>
      <c r="J401" s="1"/>
      <c r="K401" s="1"/>
      <c r="L401" s="1"/>
      <c r="M401" s="1"/>
      <c r="N401" s="1"/>
      <c r="O401" s="1"/>
      <c r="P401" s="1"/>
      <c r="Q401" s="1"/>
      <c r="R401" s="1"/>
      <c r="S401" s="1"/>
      <c r="T401" s="1"/>
      <c r="U401" s="1"/>
      <c r="V401" s="1"/>
    </row>
    <row r="402" ht="12.0" customHeight="1">
      <c r="A402" s="323"/>
      <c r="B402" s="109"/>
      <c r="C402" s="229"/>
      <c r="D402" s="229"/>
      <c r="E402" s="142"/>
      <c r="F402" s="143"/>
      <c r="G402" s="142"/>
      <c r="H402" s="142"/>
      <c r="I402" s="142"/>
      <c r="J402" s="1"/>
      <c r="K402" s="1"/>
      <c r="L402" s="1"/>
      <c r="M402" s="1"/>
      <c r="N402" s="1"/>
      <c r="O402" s="1"/>
      <c r="P402" s="1"/>
      <c r="Q402" s="1"/>
      <c r="R402" s="1"/>
      <c r="S402" s="1"/>
      <c r="T402" s="1"/>
      <c r="U402" s="1"/>
      <c r="V402" s="1"/>
    </row>
    <row r="403" ht="12.0" customHeight="1">
      <c r="A403" s="323"/>
      <c r="B403" s="116" t="s">
        <v>284</v>
      </c>
      <c r="C403" s="168">
        <f>IF(C31&lt;1066,20,IF(C31&lt;1333,22,24))</f>
        <v>20</v>
      </c>
      <c r="D403" s="168">
        <f t="shared" ref="D403:D405" si="16">ROUNDUP(((C403)/2),0)</f>
        <v>10</v>
      </c>
      <c r="E403" s="154" t="str">
        <f>DEC2HEX(((D403)*2^24),8)</f>
        <v>0A000000</v>
      </c>
      <c r="F403" s="193" t="s">
        <v>635</v>
      </c>
      <c r="G403" s="156" t="s">
        <v>645</v>
      </c>
      <c r="H403" s="156" t="str">
        <f>"0x"&amp;DEC2HEX((HEX2DEC(C36)+308), 8)</f>
        <v>0x3D402134</v>
      </c>
      <c r="I403" s="157" t="str">
        <f>"0x"&amp;DEC2HEX((HEX2DEC(E403)+HEX2DEC(E404)+HEX2DEC(E405)), 8)</f>
        <v>0x0A100002</v>
      </c>
      <c r="J403" s="1"/>
      <c r="K403" s="1"/>
      <c r="L403" s="1"/>
      <c r="M403" s="1"/>
      <c r="N403" s="1"/>
      <c r="O403" s="1"/>
      <c r="P403" s="1"/>
      <c r="Q403" s="1"/>
      <c r="R403" s="1"/>
      <c r="S403" s="1"/>
      <c r="T403" s="1"/>
      <c r="U403" s="1"/>
      <c r="V403" s="1"/>
    </row>
    <row r="404" ht="12.0" customHeight="1">
      <c r="A404" s="323"/>
      <c r="B404" s="128" t="s">
        <v>287</v>
      </c>
      <c r="C404" s="230">
        <v>32.0</v>
      </c>
      <c r="D404" s="133">
        <f t="shared" si="16"/>
        <v>16</v>
      </c>
      <c r="E404" s="130" t="str">
        <f>DEC2HEX(((D404)*2^16),8)</f>
        <v>00100000</v>
      </c>
      <c r="F404" s="203" t="s">
        <v>635</v>
      </c>
      <c r="G404" s="60"/>
      <c r="H404" s="60"/>
      <c r="I404" s="164"/>
      <c r="J404" s="1"/>
      <c r="K404" s="1"/>
      <c r="L404" s="1"/>
      <c r="M404" s="1"/>
      <c r="N404" s="1"/>
      <c r="O404" s="1"/>
      <c r="P404" s="1"/>
      <c r="Q404" s="1"/>
      <c r="R404" s="1"/>
      <c r="S404" s="1"/>
      <c r="T404" s="1"/>
      <c r="U404" s="1"/>
      <c r="V404" s="1"/>
    </row>
    <row r="405" ht="12.0" customHeight="1">
      <c r="A405" s="323"/>
      <c r="B405" s="135" t="s">
        <v>289</v>
      </c>
      <c r="C405" s="231">
        <v>4.0</v>
      </c>
      <c r="D405" s="171">
        <f t="shared" si="16"/>
        <v>2</v>
      </c>
      <c r="E405" s="138" t="str">
        <f>DEC2HEX(((D405)*2^0),8)</f>
        <v>00000002</v>
      </c>
      <c r="F405" s="195" t="s">
        <v>635</v>
      </c>
      <c r="G405" s="140"/>
      <c r="H405" s="140"/>
      <c r="I405" s="50"/>
      <c r="J405" s="1"/>
      <c r="K405" s="1"/>
      <c r="L405" s="1"/>
      <c r="M405" s="1"/>
      <c r="N405" s="1"/>
      <c r="O405" s="1"/>
      <c r="P405" s="1"/>
      <c r="Q405" s="1"/>
      <c r="R405" s="1"/>
      <c r="S405" s="1"/>
      <c r="T405" s="1"/>
      <c r="U405" s="1"/>
      <c r="V405" s="1"/>
    </row>
    <row r="406" ht="12.0" customHeight="1">
      <c r="A406" s="323"/>
      <c r="B406" s="109"/>
      <c r="C406" s="109"/>
      <c r="D406" s="109"/>
      <c r="E406" s="142"/>
      <c r="F406" s="151"/>
      <c r="G406" s="142"/>
      <c r="H406" s="142"/>
      <c r="I406" s="142"/>
      <c r="J406" s="1"/>
      <c r="K406" s="1"/>
      <c r="L406" s="1"/>
      <c r="M406" s="1"/>
      <c r="N406" s="1"/>
      <c r="O406" s="1"/>
      <c r="P406" s="1"/>
      <c r="Q406" s="1"/>
      <c r="R406" s="1"/>
      <c r="S406" s="1"/>
      <c r="T406" s="1"/>
      <c r="U406" s="1"/>
      <c r="V406" s="1"/>
    </row>
    <row r="407" ht="12.0" customHeight="1">
      <c r="A407" s="323"/>
      <c r="B407" s="144" t="s">
        <v>291</v>
      </c>
      <c r="C407" s="232">
        <f>MAX((C100+7.5)/C32, 2)</f>
        <v>77.5</v>
      </c>
      <c r="D407" s="233">
        <f>ROUNDUP((C407)/2,0)</f>
        <v>39</v>
      </c>
      <c r="E407" s="147" t="str">
        <f>DEC2HEX(((D407)*2^0),8)</f>
        <v>00000027</v>
      </c>
      <c r="F407" s="329" t="s">
        <v>635</v>
      </c>
      <c r="G407" s="147" t="s">
        <v>646</v>
      </c>
      <c r="H407" s="147" t="str">
        <f>"0x"&amp;DEC2HEX((HEX2DEC(C36)+312), 8)</f>
        <v>0x3D402138</v>
      </c>
      <c r="I407" s="234" t="str">
        <f>"0x"&amp;DEC2HEX((HEX2DEC(E407)), 8)</f>
        <v>0x00000027</v>
      </c>
      <c r="J407" s="220"/>
      <c r="K407" s="1"/>
      <c r="L407" s="1"/>
      <c r="M407" s="1"/>
      <c r="N407" s="1"/>
      <c r="O407" s="1"/>
      <c r="P407" s="1"/>
      <c r="Q407" s="1"/>
      <c r="R407" s="1"/>
      <c r="S407" s="1"/>
      <c r="T407" s="1"/>
      <c r="U407" s="1"/>
      <c r="V407" s="1"/>
    </row>
    <row r="408" ht="12.0" customHeight="1">
      <c r="A408" s="323"/>
      <c r="B408" s="109"/>
      <c r="C408" s="235"/>
      <c r="D408" s="141"/>
      <c r="E408" s="142"/>
      <c r="F408" s="143"/>
      <c r="G408" s="142"/>
      <c r="H408" s="142"/>
      <c r="I408" s="142"/>
      <c r="J408" s="236"/>
      <c r="K408" s="1"/>
      <c r="L408" s="1"/>
      <c r="M408" s="1"/>
      <c r="N408" s="1"/>
      <c r="O408" s="1"/>
      <c r="P408" s="1"/>
      <c r="Q408" s="1"/>
      <c r="R408" s="1"/>
      <c r="S408" s="1"/>
      <c r="T408" s="1"/>
      <c r="U408" s="1"/>
      <c r="V408" s="1"/>
    </row>
    <row r="409" ht="12.0" customHeight="1">
      <c r="A409" s="323"/>
      <c r="B409" s="116" t="s">
        <v>294</v>
      </c>
      <c r="C409" s="237">
        <v>200.0</v>
      </c>
      <c r="D409" s="173">
        <f>ROUNDUP(((C409/C32)/2),0)</f>
        <v>20</v>
      </c>
      <c r="E409" s="154" t="str">
        <f>DEC2HEX(((D409)*2^16),8)</f>
        <v>00140000</v>
      </c>
      <c r="F409" s="193" t="s">
        <v>635</v>
      </c>
      <c r="G409" s="156" t="s">
        <v>647</v>
      </c>
      <c r="H409" s="156" t="str">
        <f>"0x"&amp;DEC2HEX((HEX2DEC(C36)+324), 8)</f>
        <v>0x3D402144</v>
      </c>
      <c r="I409" s="157" t="str">
        <f>"0x"&amp;DEC2HEX((HEX2DEC(E409)+HEX2DEC(E410)), 8)</f>
        <v>0x0014000A</v>
      </c>
      <c r="J409" s="236"/>
      <c r="K409" s="1"/>
      <c r="L409" s="1"/>
      <c r="M409" s="1"/>
      <c r="N409" s="1"/>
      <c r="O409" s="1"/>
      <c r="P409" s="1"/>
      <c r="Q409" s="1"/>
      <c r="R409" s="1"/>
      <c r="S409" s="1"/>
      <c r="T409" s="1"/>
      <c r="U409" s="1"/>
      <c r="V409" s="1"/>
    </row>
    <row r="410" ht="12.0" customHeight="1">
      <c r="A410" s="323"/>
      <c r="B410" s="135" t="s">
        <v>297</v>
      </c>
      <c r="C410" s="238">
        <v>100.0</v>
      </c>
      <c r="D410" s="183">
        <f>ROUNDUP(((C410/C32)/2),0)</f>
        <v>10</v>
      </c>
      <c r="E410" s="138" t="str">
        <f>DEC2HEX(((D410)*2^0),8)</f>
        <v>0000000A</v>
      </c>
      <c r="F410" s="195" t="s">
        <v>635</v>
      </c>
      <c r="G410" s="140"/>
      <c r="H410" s="140"/>
      <c r="I410" s="50"/>
      <c r="J410" s="220"/>
      <c r="K410" s="1"/>
      <c r="L410" s="1"/>
      <c r="M410" s="1"/>
      <c r="N410" s="1"/>
      <c r="O410" s="1"/>
      <c r="P410" s="1"/>
      <c r="Q410" s="1"/>
      <c r="R410" s="1"/>
      <c r="S410" s="1"/>
      <c r="T410" s="1"/>
      <c r="U410" s="1"/>
      <c r="V410" s="1"/>
    </row>
    <row r="411" ht="12.0" customHeight="1">
      <c r="A411" s="323"/>
      <c r="B411" s="109"/>
      <c r="C411" s="330"/>
      <c r="D411" s="141"/>
      <c r="E411" s="142"/>
      <c r="F411" s="110"/>
      <c r="G411" s="142"/>
      <c r="H411" s="142"/>
      <c r="I411" s="142"/>
      <c r="J411" s="220"/>
      <c r="K411" s="1"/>
      <c r="L411" s="1"/>
      <c r="M411" s="1"/>
      <c r="N411" s="1"/>
      <c r="O411" s="1"/>
      <c r="P411" s="1"/>
      <c r="Q411" s="1"/>
      <c r="R411" s="1"/>
      <c r="S411" s="1"/>
      <c r="T411" s="1"/>
      <c r="U411" s="1"/>
      <c r="V411" s="1"/>
    </row>
    <row r="412" ht="12.0" customHeight="1">
      <c r="A412" s="1"/>
      <c r="B412" s="116" t="s">
        <v>318</v>
      </c>
      <c r="C412" s="119" t="s">
        <v>91</v>
      </c>
      <c r="D412" s="247">
        <v>0.0</v>
      </c>
      <c r="E412" s="154" t="str">
        <f>DEC2HEX(((D412)*2^13),8)</f>
        <v>00000000</v>
      </c>
      <c r="F412" s="193" t="s">
        <v>635</v>
      </c>
      <c r="G412" s="156" t="s">
        <v>648</v>
      </c>
      <c r="H412" s="156" t="str">
        <f>"0x"&amp;DEC2HEX((HEX2DEC(C36)+32), 8)</f>
        <v>0x3D402020</v>
      </c>
      <c r="I412" s="157" t="str">
        <f>"0x"&amp;DEC2HEX((HEX2DEC(E412)+HEX2DEC(E413)+HEX2DEC(E414)+HEX2DEC(E415)+HEX2DEC(E416)+HEX2DEC(E417) ), 8)</f>
        <v>0x00001031</v>
      </c>
      <c r="J412" s="134"/>
      <c r="K412" s="1"/>
      <c r="L412" s="1"/>
      <c r="M412" s="1"/>
      <c r="N412" s="1"/>
      <c r="O412" s="1"/>
      <c r="P412" s="1"/>
      <c r="Q412" s="1"/>
      <c r="R412" s="1"/>
      <c r="S412" s="1"/>
      <c r="T412" s="1"/>
      <c r="U412" s="1"/>
      <c r="V412" s="1"/>
    </row>
    <row r="413" ht="12.0" customHeight="1">
      <c r="A413" s="1"/>
      <c r="B413" s="128" t="s">
        <v>321</v>
      </c>
      <c r="C413" s="175" t="s">
        <v>91</v>
      </c>
      <c r="D413" s="230">
        <v>1.0</v>
      </c>
      <c r="E413" s="130" t="str">
        <f>DEC2HEX(((D413)*2^12),8)</f>
        <v>00001000</v>
      </c>
      <c r="F413" s="203" t="s">
        <v>635</v>
      </c>
      <c r="G413" s="60"/>
      <c r="H413" s="60"/>
      <c r="I413" s="164"/>
      <c r="J413" s="134"/>
      <c r="K413" s="1"/>
      <c r="L413" s="1"/>
      <c r="M413" s="1"/>
      <c r="N413" s="1"/>
      <c r="O413" s="1"/>
      <c r="P413" s="1"/>
      <c r="Q413" s="1"/>
      <c r="R413" s="1"/>
      <c r="S413" s="1"/>
      <c r="T413" s="1"/>
      <c r="U413" s="1"/>
      <c r="V413" s="1"/>
    </row>
    <row r="414" ht="12.0" customHeight="1">
      <c r="A414" s="323"/>
      <c r="B414" s="128" t="s">
        <v>323</v>
      </c>
      <c r="C414" s="132">
        <v>3.75</v>
      </c>
      <c r="D414" s="129">
        <f>ROUNDUP(C414/C32/2, 0) - 1</f>
        <v>0</v>
      </c>
      <c r="E414" s="130" t="str">
        <f>DEC2HEX(((D414)*2^8),8)</f>
        <v>00000000</v>
      </c>
      <c r="F414" s="203" t="s">
        <v>635</v>
      </c>
      <c r="G414" s="60"/>
      <c r="H414" s="60"/>
      <c r="I414" s="164"/>
      <c r="J414" s="134"/>
      <c r="K414" s="1"/>
      <c r="L414" s="1"/>
      <c r="M414" s="1"/>
      <c r="N414" s="1"/>
      <c r="O414" s="1"/>
      <c r="P414" s="1"/>
      <c r="Q414" s="1"/>
      <c r="R414" s="1"/>
      <c r="S414" s="1"/>
      <c r="T414" s="1"/>
      <c r="U414" s="1"/>
      <c r="V414" s="1"/>
    </row>
    <row r="415" ht="12.0" customHeight="1">
      <c r="A415" s="323"/>
      <c r="B415" s="128" t="s">
        <v>325</v>
      </c>
      <c r="C415" s="175" t="s">
        <v>91</v>
      </c>
      <c r="D415" s="129">
        <f>D182</f>
        <v>3</v>
      </c>
      <c r="E415" s="130" t="str">
        <f>DEC2HEX(((D415)*2^4),8)</f>
        <v>00000030</v>
      </c>
      <c r="F415" s="203" t="s">
        <v>635</v>
      </c>
      <c r="G415" s="60"/>
      <c r="H415" s="60"/>
      <c r="I415" s="164"/>
      <c r="J415" s="134"/>
      <c r="K415" s="1"/>
      <c r="L415" s="1"/>
      <c r="M415" s="1"/>
      <c r="N415" s="1"/>
      <c r="O415" s="1"/>
      <c r="P415" s="1"/>
      <c r="Q415" s="1"/>
      <c r="R415" s="1"/>
      <c r="S415" s="1"/>
      <c r="T415" s="1"/>
      <c r="U415" s="1"/>
      <c r="V415" s="1"/>
    </row>
    <row r="416" ht="12.0" customHeight="1">
      <c r="A416" s="323"/>
      <c r="B416" s="128" t="s">
        <v>327</v>
      </c>
      <c r="C416" s="132">
        <v>1.875</v>
      </c>
      <c r="D416" s="129">
        <f>ROUNDUP(C416/C32/2, 0) - 1</f>
        <v>0</v>
      </c>
      <c r="E416" s="130" t="str">
        <f>DEC2HEX(((D416)*2^1),8)</f>
        <v>00000000</v>
      </c>
      <c r="F416" s="203" t="s">
        <v>635</v>
      </c>
      <c r="G416" s="60"/>
      <c r="H416" s="60"/>
      <c r="I416" s="164"/>
      <c r="J416" s="134"/>
      <c r="K416" s="1"/>
      <c r="L416" s="1"/>
      <c r="M416" s="1"/>
      <c r="N416" s="1"/>
      <c r="O416" s="1"/>
      <c r="P416" s="1"/>
      <c r="Q416" s="1"/>
      <c r="R416" s="1"/>
      <c r="S416" s="1"/>
      <c r="T416" s="1"/>
      <c r="U416" s="1"/>
      <c r="V416" s="1"/>
    </row>
    <row r="417" ht="12.0" customHeight="1">
      <c r="A417" s="323"/>
      <c r="B417" s="135" t="s">
        <v>329</v>
      </c>
      <c r="C417" s="178" t="s">
        <v>91</v>
      </c>
      <c r="D417" s="183">
        <f>D184</f>
        <v>1</v>
      </c>
      <c r="E417" s="138" t="str">
        <f>DEC2HEX(((D417)*2^0),8)</f>
        <v>00000001</v>
      </c>
      <c r="F417" s="195" t="s">
        <v>635</v>
      </c>
      <c r="G417" s="140"/>
      <c r="H417" s="140"/>
      <c r="I417" s="50"/>
      <c r="J417" s="134"/>
      <c r="K417" s="1"/>
      <c r="L417" s="1"/>
      <c r="M417" s="1"/>
      <c r="N417" s="1"/>
      <c r="O417" s="1"/>
      <c r="P417" s="1"/>
      <c r="Q417" s="1"/>
      <c r="R417" s="1"/>
      <c r="S417" s="1"/>
      <c r="T417" s="1"/>
      <c r="U417" s="1"/>
      <c r="V417" s="1"/>
    </row>
    <row r="418" ht="12.0" customHeight="1">
      <c r="A418" s="323"/>
      <c r="B418" s="109"/>
      <c r="C418" s="109"/>
      <c r="D418" s="109"/>
      <c r="E418" s="142"/>
      <c r="F418" s="151"/>
      <c r="G418" s="142"/>
      <c r="H418" s="142"/>
      <c r="I418" s="142"/>
      <c r="J418" s="1"/>
      <c r="K418" s="1"/>
      <c r="L418" s="1"/>
      <c r="M418" s="1"/>
      <c r="N418" s="1"/>
      <c r="O418" s="1"/>
      <c r="P418" s="1"/>
      <c r="Q418" s="1"/>
      <c r="R418" s="1"/>
      <c r="S418" s="1"/>
      <c r="T418" s="1"/>
      <c r="U418" s="1"/>
      <c r="V418" s="1"/>
    </row>
    <row r="419" ht="12.0" customHeight="1">
      <c r="A419" s="323"/>
      <c r="B419" s="144" t="s">
        <v>331</v>
      </c>
      <c r="C419" s="149">
        <v>32.0</v>
      </c>
      <c r="D419" s="331">
        <f>ROUNDUP(C419*1000000/C32/2, 0 )</f>
        <v>3200000</v>
      </c>
      <c r="E419" s="147" t="str">
        <f>DEC2HEX(((D419)*2^0),8)</f>
        <v>0030D400</v>
      </c>
      <c r="F419" s="329" t="s">
        <v>635</v>
      </c>
      <c r="G419" s="147" t="s">
        <v>649</v>
      </c>
      <c r="H419" s="147" t="str">
        <f>"0x"&amp;DEC2HEX((HEX2DEC(C36)+36), 8)</f>
        <v>0x3D402024</v>
      </c>
      <c r="I419" s="234" t="str">
        <f>"0x"&amp;DEC2HEX(HEX2DEC(E419), 8)</f>
        <v>0x0030D400</v>
      </c>
      <c r="J419" s="134"/>
      <c r="K419" s="1"/>
      <c r="L419" s="1"/>
      <c r="M419" s="1"/>
      <c r="N419" s="1"/>
      <c r="O419" s="1"/>
      <c r="P419" s="1"/>
      <c r="Q419" s="1"/>
      <c r="R419" s="1"/>
      <c r="S419" s="1"/>
      <c r="T419" s="1"/>
      <c r="U419" s="1"/>
      <c r="V419" s="1"/>
    </row>
    <row r="420" ht="12.0" customHeight="1">
      <c r="A420" s="323"/>
      <c r="B420" s="109"/>
      <c r="C420" s="109"/>
      <c r="D420" s="109"/>
      <c r="E420" s="142"/>
      <c r="F420" s="151"/>
      <c r="G420" s="142"/>
      <c r="H420" s="142"/>
      <c r="I420" s="142"/>
      <c r="J420" s="1"/>
      <c r="K420" s="1"/>
      <c r="L420" s="1"/>
      <c r="M420" s="1"/>
      <c r="N420" s="1"/>
      <c r="O420" s="1"/>
      <c r="P420" s="1"/>
      <c r="Q420" s="1"/>
      <c r="R420" s="1"/>
      <c r="S420" s="1"/>
      <c r="T420" s="1"/>
      <c r="U420" s="1"/>
      <c r="V420" s="1"/>
    </row>
    <row r="421" ht="12.75" customHeight="1">
      <c r="A421" s="323"/>
      <c r="B421" s="116" t="s">
        <v>172</v>
      </c>
      <c r="C421" s="117" t="s">
        <v>91</v>
      </c>
      <c r="D421" s="119">
        <v>2.0</v>
      </c>
      <c r="E421" s="154" t="str">
        <f>DEC2HEX(((D421)*2^20),8)</f>
        <v>00200000</v>
      </c>
      <c r="F421" s="193" t="s">
        <v>635</v>
      </c>
      <c r="G421" s="156" t="s">
        <v>650</v>
      </c>
      <c r="H421" s="156" t="str">
        <f>"0x"&amp;DEC2HEX((HEX2DEC(C36)+HEX2DEC(50)), 8)</f>
        <v>0x3D402050</v>
      </c>
      <c r="I421" s="157" t="str">
        <f>"0x"&amp;DEC2HEX((HEX2DEC(E421)+HEX2DEC(E422)+HEX2DEC(E423)+HEX2DEC(E424)), 8)</f>
        <v>0x0020D000</v>
      </c>
      <c r="J421" s="1"/>
      <c r="K421" s="1"/>
      <c r="L421" s="1"/>
      <c r="M421" s="1"/>
      <c r="N421" s="1"/>
      <c r="O421" s="1"/>
      <c r="P421" s="1"/>
      <c r="Q421" s="1"/>
      <c r="R421" s="1"/>
      <c r="S421" s="1"/>
      <c r="T421" s="1"/>
      <c r="U421" s="1"/>
    </row>
    <row r="422" ht="12.0" customHeight="1">
      <c r="A422" s="323"/>
      <c r="B422" s="128" t="s">
        <v>176</v>
      </c>
      <c r="C422" s="175" t="s">
        <v>91</v>
      </c>
      <c r="D422" s="132">
        <v>13.0</v>
      </c>
      <c r="E422" s="130" t="str">
        <f>DEC2HEX(((D422)*2^12),8)</f>
        <v>0000D000</v>
      </c>
      <c r="F422" s="203" t="s">
        <v>635</v>
      </c>
      <c r="G422" s="60"/>
      <c r="H422" s="60"/>
      <c r="I422" s="164"/>
      <c r="J422" s="1"/>
      <c r="K422" s="1"/>
      <c r="L422" s="1"/>
      <c r="M422" s="1"/>
      <c r="N422" s="1"/>
      <c r="O422" s="1"/>
      <c r="P422" s="1"/>
      <c r="Q422" s="1"/>
      <c r="R422" s="1"/>
      <c r="S422" s="1"/>
      <c r="T422" s="1"/>
      <c r="U422" s="1"/>
    </row>
    <row r="423" ht="12.0" customHeight="1">
      <c r="A423" s="323"/>
      <c r="B423" s="128" t="s">
        <v>178</v>
      </c>
      <c r="C423" s="175" t="s">
        <v>91</v>
      </c>
      <c r="D423" s="132">
        <v>0.0</v>
      </c>
      <c r="E423" s="130" t="str">
        <f>DEC2HEX(((D423)*2^4),8)</f>
        <v>00000000</v>
      </c>
      <c r="F423" s="203" t="s">
        <v>635</v>
      </c>
      <c r="G423" s="60"/>
      <c r="H423" s="60"/>
      <c r="I423" s="164"/>
      <c r="J423" s="1"/>
      <c r="K423" s="1"/>
      <c r="L423" s="1"/>
      <c r="M423" s="1"/>
      <c r="N423" s="1"/>
      <c r="O423" s="1"/>
      <c r="P423" s="1"/>
      <c r="Q423" s="1"/>
      <c r="R423" s="1"/>
      <c r="S423" s="1"/>
      <c r="T423" s="1"/>
      <c r="U423" s="1"/>
    </row>
    <row r="424" ht="12.0" customHeight="1">
      <c r="A424" s="323"/>
      <c r="B424" s="135" t="s">
        <v>180</v>
      </c>
      <c r="C424" s="178" t="s">
        <v>91</v>
      </c>
      <c r="D424" s="136">
        <v>0.0</v>
      </c>
      <c r="E424" s="138" t="str">
        <f>DEC2HEX(((D424)*2^2),8)</f>
        <v>00000000</v>
      </c>
      <c r="F424" s="195" t="s">
        <v>635</v>
      </c>
      <c r="G424" s="140"/>
      <c r="H424" s="140"/>
      <c r="I424" s="50"/>
      <c r="J424" s="1"/>
      <c r="K424" s="1"/>
      <c r="L424" s="1"/>
      <c r="M424" s="1"/>
      <c r="N424" s="1"/>
      <c r="O424" s="1"/>
      <c r="P424" s="1"/>
      <c r="Q424" s="1"/>
      <c r="R424" s="1"/>
      <c r="S424" s="1"/>
      <c r="T424" s="1"/>
      <c r="U424" s="1"/>
    </row>
    <row r="425" ht="12.0" customHeight="1">
      <c r="A425" s="323"/>
      <c r="B425" s="109"/>
      <c r="C425" s="109"/>
      <c r="D425" s="109"/>
      <c r="E425" s="142"/>
      <c r="F425" s="110"/>
      <c r="G425" s="142"/>
      <c r="H425" s="142"/>
      <c r="I425" s="142"/>
      <c r="J425" s="1"/>
      <c r="K425" s="1"/>
      <c r="L425" s="1"/>
      <c r="M425" s="1"/>
      <c r="N425" s="1"/>
      <c r="O425" s="1"/>
      <c r="P425" s="1"/>
      <c r="Q425" s="1"/>
      <c r="R425" s="1"/>
      <c r="S425" s="1"/>
      <c r="T425" s="1"/>
      <c r="U425" s="1"/>
    </row>
    <row r="426" ht="12.0" customHeight="1">
      <c r="A426" s="323"/>
      <c r="B426" s="116" t="s">
        <v>299</v>
      </c>
      <c r="C426" s="119" t="s">
        <v>91</v>
      </c>
      <c r="D426" s="119">
        <v>0.0</v>
      </c>
      <c r="E426" s="154" t="str">
        <f>DEC2HEX(((D426)*2^31),8)</f>
        <v>00000000</v>
      </c>
      <c r="F426" s="193" t="s">
        <v>635</v>
      </c>
      <c r="G426" s="156" t="s">
        <v>651</v>
      </c>
      <c r="H426" s="156" t="str">
        <f>"0x"&amp;DEC2HEX((HEX2DEC(C36)+384), 8)</f>
        <v>0x3D402180</v>
      </c>
      <c r="I426" s="157" t="str">
        <f>"0x"&amp;DEC2HEX((HEX2DEC(E426)+HEX2DEC(E427)+HEX2DEC(E428)+HEX2DEC(E430)+HEX2DEC(E431)), 8)</f>
        <v>0x00640004</v>
      </c>
      <c r="J426" s="1"/>
      <c r="K426" s="1"/>
      <c r="L426" s="1"/>
      <c r="M426" s="1"/>
      <c r="N426" s="1"/>
      <c r="O426" s="1"/>
      <c r="P426" s="1"/>
      <c r="Q426" s="1"/>
      <c r="R426" s="1"/>
      <c r="S426" s="1"/>
      <c r="T426" s="1"/>
      <c r="U426" s="1"/>
      <c r="V426" s="1"/>
    </row>
    <row r="427" ht="12.0" customHeight="1">
      <c r="A427" s="323"/>
      <c r="B427" s="128" t="s">
        <v>302</v>
      </c>
      <c r="C427" s="132" t="s">
        <v>91</v>
      </c>
      <c r="D427" s="132">
        <v>0.0</v>
      </c>
      <c r="E427" s="130" t="str">
        <f>DEC2HEX(((D427)*2^30),8)</f>
        <v>00000000</v>
      </c>
      <c r="F427" s="203" t="s">
        <v>635</v>
      </c>
      <c r="G427" s="60"/>
      <c r="H427" s="60"/>
      <c r="I427" s="164"/>
      <c r="J427" s="1"/>
      <c r="K427" s="1"/>
      <c r="L427" s="1"/>
      <c r="M427" s="1"/>
      <c r="N427" s="1"/>
      <c r="O427" s="1"/>
      <c r="P427" s="1"/>
      <c r="Q427" s="1"/>
      <c r="R427" s="1"/>
      <c r="S427" s="1"/>
      <c r="T427" s="1"/>
      <c r="U427" s="1"/>
      <c r="V427" s="1"/>
    </row>
    <row r="428" ht="12.0" customHeight="1">
      <c r="A428" s="323"/>
      <c r="B428" s="128" t="s">
        <v>304</v>
      </c>
      <c r="C428" s="132" t="s">
        <v>91</v>
      </c>
      <c r="D428" s="133">
        <f>D170</f>
        <v>0</v>
      </c>
      <c r="E428" s="130" t="str">
        <f>DEC2HEX(((D428)*2^29),8)</f>
        <v>00000000</v>
      </c>
      <c r="F428" s="203" t="s">
        <v>635</v>
      </c>
      <c r="G428" s="60"/>
      <c r="H428" s="60"/>
      <c r="I428" s="164"/>
      <c r="J428" s="1"/>
      <c r="K428" s="1"/>
      <c r="L428" s="1"/>
      <c r="M428" s="1"/>
      <c r="N428" s="1"/>
      <c r="O428" s="1"/>
      <c r="P428" s="1"/>
      <c r="Q428" s="1"/>
      <c r="R428" s="1"/>
      <c r="S428" s="1"/>
      <c r="T428" s="1"/>
      <c r="U428" s="1"/>
      <c r="V428" s="1"/>
    </row>
    <row r="429" ht="12.0" customHeight="1">
      <c r="A429" s="323"/>
      <c r="B429" s="162" t="s">
        <v>306</v>
      </c>
      <c r="C429" s="175" t="s">
        <v>91</v>
      </c>
      <c r="D429" s="230">
        <v>0.0</v>
      </c>
      <c r="E429" s="130" t="str">
        <f>DEC2HEX(((D429)*2^28),8)</f>
        <v>00000000</v>
      </c>
      <c r="F429" s="203" t="s">
        <v>635</v>
      </c>
      <c r="G429" s="60"/>
      <c r="H429" s="60"/>
      <c r="I429" s="164"/>
      <c r="J429" s="1"/>
      <c r="K429" s="1"/>
      <c r="L429" s="1"/>
      <c r="M429" s="1"/>
      <c r="N429" s="1"/>
      <c r="O429" s="1"/>
      <c r="P429" s="1"/>
      <c r="Q429" s="1"/>
      <c r="R429" s="1"/>
      <c r="S429" s="1"/>
      <c r="T429" s="1"/>
      <c r="U429" s="1"/>
      <c r="V429" s="1"/>
    </row>
    <row r="430" ht="12.0" customHeight="1">
      <c r="A430" s="323"/>
      <c r="B430" s="162" t="s">
        <v>308</v>
      </c>
      <c r="C430" s="132">
        <v>1000.0</v>
      </c>
      <c r="D430" s="129">
        <f>ROUNDUP(((C430/C32)/2),0)</f>
        <v>100</v>
      </c>
      <c r="E430" s="130" t="str">
        <f>DEC2HEX(((D430)*2^16),8)</f>
        <v>00640000</v>
      </c>
      <c r="F430" s="203" t="s">
        <v>635</v>
      </c>
      <c r="G430" s="60"/>
      <c r="H430" s="60"/>
      <c r="I430" s="164"/>
      <c r="J430" s="1"/>
      <c r="K430" s="1"/>
      <c r="L430" s="1"/>
      <c r="M430" s="1"/>
      <c r="N430" s="1"/>
      <c r="O430" s="1"/>
      <c r="P430" s="1"/>
      <c r="Q430" s="1"/>
      <c r="R430" s="1"/>
      <c r="S430" s="1"/>
      <c r="T430" s="1"/>
      <c r="U430" s="1"/>
      <c r="V430" s="1"/>
    </row>
    <row r="431" ht="12.0" customHeight="1">
      <c r="A431" s="323"/>
      <c r="B431" s="135" t="s">
        <v>310</v>
      </c>
      <c r="C431" s="171">
        <f>MAX(30/C32,8)</f>
        <v>8</v>
      </c>
      <c r="D431" s="183">
        <f>ROUNDUP(((C431)/2),0)</f>
        <v>4</v>
      </c>
      <c r="E431" s="138" t="str">
        <f>DEC2HEX(((D431)*2^0),8)</f>
        <v>00000004</v>
      </c>
      <c r="F431" s="195" t="s">
        <v>635</v>
      </c>
      <c r="G431" s="140"/>
      <c r="H431" s="140"/>
      <c r="I431" s="50"/>
      <c r="J431" s="1"/>
      <c r="K431" s="1"/>
      <c r="L431" s="1"/>
      <c r="M431" s="1"/>
      <c r="N431" s="1"/>
      <c r="O431" s="1"/>
      <c r="P431" s="1"/>
      <c r="Q431" s="1"/>
      <c r="R431" s="1"/>
      <c r="S431" s="1"/>
      <c r="T431" s="1"/>
      <c r="U431" s="1"/>
      <c r="V431" s="1"/>
    </row>
    <row r="432" ht="12.0" customHeight="1">
      <c r="A432" s="323"/>
      <c r="B432" s="109"/>
      <c r="C432" s="109"/>
      <c r="D432" s="109"/>
      <c r="E432" s="142"/>
      <c r="F432" s="151"/>
      <c r="G432" s="142"/>
      <c r="H432" s="142"/>
      <c r="I432" s="142"/>
      <c r="J432" s="1"/>
      <c r="K432" s="1"/>
      <c r="L432" s="1"/>
      <c r="M432" s="1"/>
      <c r="N432" s="1"/>
      <c r="O432" s="1"/>
      <c r="P432" s="1"/>
      <c r="Q432" s="1"/>
      <c r="R432" s="1"/>
      <c r="S432" s="1"/>
      <c r="T432" s="1"/>
      <c r="U432" s="1"/>
      <c r="V432" s="1"/>
    </row>
    <row r="433" ht="12.0" customHeight="1">
      <c r="A433" s="323"/>
      <c r="B433" s="116" t="s">
        <v>479</v>
      </c>
      <c r="C433" s="119"/>
      <c r="D433" s="119">
        <v>3.0</v>
      </c>
      <c r="E433" s="154" t="str">
        <f>DEC2HEX(((D433)*2^24),8)</f>
        <v>03000000</v>
      </c>
      <c r="F433" s="193" t="s">
        <v>635</v>
      </c>
      <c r="G433" s="156" t="s">
        <v>652</v>
      </c>
      <c r="H433" s="156" t="str">
        <f>"0x"&amp;DEC2HEX((HEX2DEC(C36)+400), 8)</f>
        <v>0x3D402190</v>
      </c>
      <c r="I433" s="157" t="str">
        <f>"0x"&amp;DEC2HEX((HEX2DEC(E433)+HEX2DEC(E434)+HEX2DEC(E435)+HEX2DEC(E436)+HEX2DEC(E437)+HEX2DEC(E438) ), 8)</f>
        <v>0x03818200</v>
      </c>
      <c r="J433" s="1"/>
      <c r="K433" s="1"/>
      <c r="L433" s="1"/>
      <c r="M433" s="1"/>
      <c r="N433" s="1"/>
      <c r="O433" s="1"/>
      <c r="P433" s="1"/>
      <c r="Q433" s="1"/>
      <c r="R433" s="1"/>
      <c r="S433" s="1"/>
      <c r="T433" s="1"/>
      <c r="U433" s="1"/>
      <c r="V433" s="1"/>
    </row>
    <row r="434" ht="12.0" customHeight="1">
      <c r="A434" s="323"/>
      <c r="B434" s="128" t="s">
        <v>482</v>
      </c>
      <c r="C434" s="132"/>
      <c r="D434" s="132">
        <v>1.0</v>
      </c>
      <c r="E434" s="130" t="str">
        <f>DEC2HEX(((D434)*2^23),8)</f>
        <v>00800000</v>
      </c>
      <c r="F434" s="203" t="s">
        <v>635</v>
      </c>
      <c r="G434" s="60"/>
      <c r="H434" s="60"/>
      <c r="I434" s="164"/>
      <c r="J434" s="1"/>
      <c r="K434" s="1"/>
      <c r="L434" s="1"/>
      <c r="M434" s="1"/>
      <c r="N434" s="1"/>
      <c r="O434" s="1"/>
      <c r="P434" s="1"/>
      <c r="Q434" s="1"/>
      <c r="R434" s="1"/>
      <c r="S434" s="1"/>
      <c r="T434" s="1"/>
      <c r="U434" s="1"/>
      <c r="V434" s="1"/>
    </row>
    <row r="435" ht="12.0" customHeight="1">
      <c r="A435" s="323"/>
      <c r="B435" s="128" t="s">
        <v>484</v>
      </c>
      <c r="C435" s="132"/>
      <c r="D435" s="133">
        <f>(C374 - 5)</f>
        <v>1</v>
      </c>
      <c r="E435" s="130" t="str">
        <f>DEC2HEX(((D435)*2^16),8)</f>
        <v>00010000</v>
      </c>
      <c r="F435" s="203" t="s">
        <v>635</v>
      </c>
      <c r="G435" s="60"/>
      <c r="H435" s="60"/>
      <c r="I435" s="164"/>
      <c r="J435" s="312"/>
      <c r="K435" s="1"/>
      <c r="L435" s="1"/>
      <c r="M435" s="1"/>
      <c r="N435" s="1"/>
      <c r="O435" s="1"/>
      <c r="P435" s="1"/>
      <c r="Q435" s="1"/>
      <c r="R435" s="1"/>
      <c r="S435" s="1"/>
      <c r="T435" s="1"/>
      <c r="U435" s="1"/>
      <c r="V435" s="1"/>
    </row>
    <row r="436" ht="12.0" customHeight="1">
      <c r="A436" s="323"/>
      <c r="B436" s="128" t="s">
        <v>486</v>
      </c>
      <c r="C436" s="132"/>
      <c r="D436" s="132">
        <v>1.0</v>
      </c>
      <c r="E436" s="130" t="str">
        <f>DEC2HEX(((D436)*2^15),8)</f>
        <v>00008000</v>
      </c>
      <c r="F436" s="203" t="s">
        <v>635</v>
      </c>
      <c r="G436" s="60"/>
      <c r="H436" s="60"/>
      <c r="I436" s="164"/>
      <c r="J436" s="1"/>
      <c r="K436" s="1"/>
      <c r="L436" s="1"/>
      <c r="M436" s="1"/>
      <c r="N436" s="1"/>
      <c r="O436" s="1"/>
      <c r="P436" s="1"/>
      <c r="Q436" s="1"/>
      <c r="R436" s="1"/>
      <c r="S436" s="1"/>
      <c r="T436" s="1"/>
      <c r="U436" s="1"/>
      <c r="V436" s="1"/>
    </row>
    <row r="437" ht="12.0" customHeight="1">
      <c r="A437" s="323"/>
      <c r="B437" s="162" t="s">
        <v>488</v>
      </c>
      <c r="C437" s="132"/>
      <c r="D437" s="132">
        <v>2.0</v>
      </c>
      <c r="E437" s="130" t="str">
        <f>DEC2HEX(((D437)*2^8),8)</f>
        <v>00000200</v>
      </c>
      <c r="F437" s="203" t="s">
        <v>635</v>
      </c>
      <c r="G437" s="60"/>
      <c r="H437" s="60"/>
      <c r="I437" s="164"/>
      <c r="J437" s="1"/>
      <c r="K437" s="1"/>
      <c r="L437" s="1"/>
      <c r="M437" s="1"/>
      <c r="N437" s="1"/>
      <c r="O437" s="1"/>
      <c r="P437" s="1"/>
      <c r="Q437" s="1"/>
      <c r="R437" s="1"/>
      <c r="S437" s="1"/>
      <c r="T437" s="1"/>
      <c r="U437" s="1"/>
      <c r="V437" s="1"/>
    </row>
    <row r="438" ht="12.0" customHeight="1">
      <c r="A438" s="323"/>
      <c r="B438" s="135" t="s">
        <v>490</v>
      </c>
      <c r="C438" s="136"/>
      <c r="D438" s="171">
        <f>C373+1-5</f>
        <v>0</v>
      </c>
      <c r="E438" s="138" t="str">
        <f>DEC2HEX(((D438)*2^0),8)</f>
        <v>00000000</v>
      </c>
      <c r="F438" s="195" t="s">
        <v>635</v>
      </c>
      <c r="G438" s="140"/>
      <c r="H438" s="140"/>
      <c r="I438" s="50"/>
      <c r="J438" s="312"/>
      <c r="K438" s="1"/>
      <c r="L438" s="1"/>
      <c r="M438" s="1"/>
      <c r="N438" s="1"/>
      <c r="O438" s="1"/>
      <c r="P438" s="1"/>
      <c r="Q438" s="1"/>
      <c r="R438" s="1"/>
      <c r="S438" s="1"/>
      <c r="T438" s="1"/>
      <c r="U438" s="1"/>
      <c r="V438" s="1"/>
    </row>
    <row r="439" ht="12.0" customHeight="1">
      <c r="A439" s="323"/>
      <c r="B439" s="109"/>
      <c r="C439" s="109"/>
      <c r="D439" s="141"/>
      <c r="E439" s="142"/>
      <c r="F439" s="110"/>
      <c r="G439" s="142"/>
      <c r="H439" s="142"/>
      <c r="I439" s="142"/>
      <c r="J439" s="312"/>
      <c r="K439" s="1"/>
      <c r="L439" s="1"/>
      <c r="M439" s="1"/>
      <c r="N439" s="1"/>
      <c r="O439" s="1"/>
      <c r="P439" s="1"/>
      <c r="Q439" s="1"/>
      <c r="R439" s="1"/>
      <c r="S439" s="1"/>
      <c r="T439" s="1"/>
      <c r="U439" s="1"/>
      <c r="V439" s="1"/>
    </row>
    <row r="440" ht="12.0" customHeight="1">
      <c r="A440" s="323"/>
      <c r="B440" s="116" t="s">
        <v>492</v>
      </c>
      <c r="C440" s="119" t="s">
        <v>91</v>
      </c>
      <c r="D440" s="119">
        <v>0.0</v>
      </c>
      <c r="E440" s="154" t="str">
        <f>DEC2HEX(((D440)*2^28),8)</f>
        <v>00000000</v>
      </c>
      <c r="F440" s="193" t="s">
        <v>635</v>
      </c>
      <c r="G440" s="156" t="s">
        <v>653</v>
      </c>
      <c r="H440" s="156" t="str">
        <f>"0x"&amp;DEC2HEX((HEX2DEC(C36)+404), 8)</f>
        <v>0x3D402194</v>
      </c>
      <c r="I440" s="157" t="str">
        <f>"0x"&amp;DEC2HEX((HEX2DEC(E440)+HEX2DEC(E441)+HEX2DEC(E442)+HEX2DEC(E443)+HEX2DEC(E444)), 8)</f>
        <v>0x00080303</v>
      </c>
      <c r="J440" s="1"/>
      <c r="K440" s="1"/>
      <c r="L440" s="1"/>
      <c r="M440" s="1"/>
      <c r="N440" s="1"/>
      <c r="O440" s="1"/>
      <c r="P440" s="1"/>
      <c r="Q440" s="1"/>
      <c r="R440" s="1"/>
      <c r="S440" s="1"/>
      <c r="T440" s="1"/>
      <c r="U440" s="1"/>
      <c r="V440" s="1"/>
    </row>
    <row r="441" ht="12.0" customHeight="1">
      <c r="A441" s="323"/>
      <c r="B441" s="128" t="s">
        <v>495</v>
      </c>
      <c r="C441" s="132" t="s">
        <v>91</v>
      </c>
      <c r="D441" s="132">
        <v>0.0</v>
      </c>
      <c r="E441" s="130" t="str">
        <f>DEC2HEX(((D441)*2^24),8)</f>
        <v>00000000</v>
      </c>
      <c r="F441" s="203" t="s">
        <v>635</v>
      </c>
      <c r="G441" s="60"/>
      <c r="H441" s="60"/>
      <c r="I441" s="164"/>
      <c r="J441" s="1"/>
      <c r="K441" s="1"/>
      <c r="L441" s="1"/>
      <c r="M441" s="1"/>
      <c r="N441" s="1"/>
      <c r="O441" s="1"/>
      <c r="P441" s="1"/>
      <c r="Q441" s="1"/>
      <c r="R441" s="1"/>
      <c r="S441" s="1"/>
      <c r="T441" s="1"/>
      <c r="U441" s="1"/>
      <c r="V441" s="1"/>
    </row>
    <row r="442" ht="12.0" customHeight="1">
      <c r="A442" s="323"/>
      <c r="B442" s="128" t="s">
        <v>497</v>
      </c>
      <c r="C442" s="132" t="s">
        <v>91</v>
      </c>
      <c r="D442" s="133">
        <f>ROUNDUP((6 + D48 + D275)/2, 0)</f>
        <v>8</v>
      </c>
      <c r="E442" s="130" t="str">
        <f>DEC2HEX(((D442)*2^16),8)</f>
        <v>00080000</v>
      </c>
      <c r="F442" s="203" t="s">
        <v>635</v>
      </c>
      <c r="G442" s="60"/>
      <c r="H442" s="60"/>
      <c r="I442" s="164"/>
      <c r="J442" s="1"/>
      <c r="K442" s="1"/>
      <c r="L442" s="1"/>
      <c r="M442" s="1"/>
      <c r="N442" s="1"/>
      <c r="O442" s="1"/>
      <c r="P442" s="1"/>
      <c r="Q442" s="1"/>
      <c r="R442" s="1"/>
      <c r="S442" s="1"/>
      <c r="T442" s="1"/>
      <c r="U442" s="1"/>
      <c r="V442" s="1"/>
    </row>
    <row r="443" ht="12.0" customHeight="1">
      <c r="A443" s="323"/>
      <c r="B443" s="128" t="s">
        <v>499</v>
      </c>
      <c r="C443" s="132" t="s">
        <v>91</v>
      </c>
      <c r="D443" s="132">
        <v>3.0</v>
      </c>
      <c r="E443" s="130" t="str">
        <f>DEC2HEX(((D443)*2^8),8)</f>
        <v>00000300</v>
      </c>
      <c r="F443" s="203" t="s">
        <v>635</v>
      </c>
      <c r="G443" s="60"/>
      <c r="H443" s="60"/>
      <c r="I443" s="164"/>
      <c r="J443" s="1"/>
      <c r="K443" s="1"/>
      <c r="L443" s="1"/>
      <c r="M443" s="1"/>
      <c r="N443" s="1"/>
      <c r="O443" s="1"/>
      <c r="P443" s="1"/>
      <c r="Q443" s="1"/>
      <c r="R443" s="1"/>
      <c r="S443" s="1"/>
      <c r="T443" s="1"/>
      <c r="U443" s="1"/>
      <c r="V443" s="1"/>
    </row>
    <row r="444" ht="12.0" customHeight="1">
      <c r="A444" s="323"/>
      <c r="B444" s="135" t="s">
        <v>501</v>
      </c>
      <c r="C444" s="136" t="s">
        <v>91</v>
      </c>
      <c r="D444" s="136">
        <v>3.0</v>
      </c>
      <c r="E444" s="138" t="str">
        <f>DEC2HEX(((D444)*2^0),8)</f>
        <v>00000003</v>
      </c>
      <c r="F444" s="195" t="s">
        <v>635</v>
      </c>
      <c r="G444" s="140"/>
      <c r="H444" s="140"/>
      <c r="I444" s="50"/>
      <c r="J444" s="1"/>
      <c r="K444" s="1"/>
      <c r="L444" s="1"/>
      <c r="M444" s="1"/>
      <c r="N444" s="1"/>
      <c r="O444" s="1"/>
      <c r="P444" s="1"/>
      <c r="Q444" s="1"/>
      <c r="R444" s="1"/>
      <c r="S444" s="1"/>
      <c r="T444" s="1"/>
      <c r="U444" s="1"/>
      <c r="V444" s="1"/>
    </row>
    <row r="445" ht="12.0" customHeight="1">
      <c r="A445" s="323"/>
      <c r="B445" s="109"/>
      <c r="C445" s="109"/>
      <c r="D445" s="109"/>
      <c r="E445" s="142"/>
      <c r="F445" s="151"/>
      <c r="G445" s="142"/>
      <c r="H445" s="142"/>
      <c r="I445" s="142"/>
      <c r="J445" s="1"/>
      <c r="K445" s="1"/>
      <c r="L445" s="1"/>
      <c r="M445" s="1"/>
      <c r="N445" s="1"/>
      <c r="O445" s="1"/>
      <c r="P445" s="1"/>
      <c r="Q445" s="1"/>
      <c r="R445" s="1"/>
      <c r="S445" s="1"/>
      <c r="T445" s="1"/>
      <c r="U445" s="1"/>
      <c r="V445" s="1"/>
    </row>
    <row r="446" ht="12.0" customHeight="1">
      <c r="A446" s="332"/>
      <c r="B446" s="116" t="s">
        <v>503</v>
      </c>
      <c r="C446" s="117" t="s">
        <v>91</v>
      </c>
      <c r="D446" s="168">
        <f>(C374 - 5)</f>
        <v>1</v>
      </c>
      <c r="E446" s="154" t="str">
        <f>DEC2HEX(((D446)*2^8),8)</f>
        <v>00000100</v>
      </c>
      <c r="F446" s="193" t="s">
        <v>635</v>
      </c>
      <c r="G446" s="156" t="s">
        <v>654</v>
      </c>
      <c r="H446" s="156" t="str">
        <f>"0x"&amp;DEC2HEX((HEX2DEC(C36)+436), 8)</f>
        <v>0x3D4021B4</v>
      </c>
      <c r="I446" s="157" t="str">
        <f>"0x"&amp;DEC2HEX((HEX2DEC(E446)+HEX2DEC(E447)), 8)</f>
        <v>0x00000100</v>
      </c>
      <c r="J446" s="1"/>
      <c r="K446" s="1"/>
      <c r="L446" s="1"/>
      <c r="M446" s="1"/>
      <c r="N446" s="1"/>
      <c r="O446" s="1"/>
      <c r="P446" s="1"/>
      <c r="Q446" s="1"/>
      <c r="R446" s="1"/>
      <c r="S446" s="1"/>
      <c r="T446" s="1"/>
      <c r="U446" s="1"/>
      <c r="V446" s="1"/>
    </row>
    <row r="447" ht="12.0" customHeight="1">
      <c r="A447" s="332"/>
      <c r="B447" s="135" t="s">
        <v>506</v>
      </c>
      <c r="C447" s="178" t="s">
        <v>91</v>
      </c>
      <c r="D447" s="171">
        <f>(C373+1-5)</f>
        <v>0</v>
      </c>
      <c r="E447" s="138" t="str">
        <f>DEC2HEX(((D447)*2^0),8)</f>
        <v>00000000</v>
      </c>
      <c r="F447" s="195" t="s">
        <v>635</v>
      </c>
      <c r="G447" s="140"/>
      <c r="H447" s="140"/>
      <c r="I447" s="50"/>
      <c r="J447" s="1"/>
      <c r="K447" s="1"/>
      <c r="L447" s="1"/>
      <c r="M447" s="1"/>
      <c r="N447" s="1"/>
      <c r="O447" s="1"/>
      <c r="P447" s="1"/>
      <c r="Q447" s="1"/>
      <c r="R447" s="1"/>
      <c r="S447" s="1"/>
      <c r="T447" s="1"/>
      <c r="U447" s="1"/>
      <c r="V447" s="1"/>
    </row>
    <row r="448" ht="12.0" customHeight="1">
      <c r="A448" s="323"/>
      <c r="B448" s="109"/>
      <c r="C448" s="109"/>
      <c r="D448" s="109"/>
      <c r="E448" s="142"/>
      <c r="F448" s="151"/>
      <c r="G448" s="142"/>
      <c r="H448" s="142"/>
      <c r="I448" s="142"/>
      <c r="J448" s="1"/>
      <c r="K448" s="1"/>
      <c r="L448" s="1"/>
      <c r="M448" s="1"/>
      <c r="N448" s="1"/>
      <c r="O448" s="1"/>
      <c r="P448" s="1"/>
      <c r="Q448" s="1"/>
      <c r="R448" s="1"/>
      <c r="S448" s="1"/>
      <c r="T448" s="1"/>
      <c r="U448" s="1"/>
      <c r="V448" s="1"/>
    </row>
    <row r="449" ht="12.0" customHeight="1">
      <c r="A449" s="323"/>
      <c r="B449" s="116" t="s">
        <v>182</v>
      </c>
      <c r="C449" s="168">
        <f t="shared" ref="C449:C450" si="17">C99</f>
        <v>3904</v>
      </c>
      <c r="D449" s="173">
        <f>MAX(ROUNDDOWN(((C449/C32)/64), 0), 3)</f>
        <v>12</v>
      </c>
      <c r="E449" s="154" t="str">
        <f>DEC2HEX(((D449)*2^16),8)</f>
        <v>000C0000</v>
      </c>
      <c r="F449" s="193" t="s">
        <v>635</v>
      </c>
      <c r="G449" s="156" t="s">
        <v>655</v>
      </c>
      <c r="H449" s="156" t="str">
        <f>"0x"&amp;DEC2HEX((HEX2DEC(C36)+HEX2DEC(64)), 8)</f>
        <v>0x3D402064</v>
      </c>
      <c r="I449" s="157" t="str">
        <f>"0x"&amp;DEC2HEX((HEX2DEC(E449)+HEX2DEC(E450)), 8)</f>
        <v>0x000C0026</v>
      </c>
      <c r="J449" s="194"/>
      <c r="K449" s="1"/>
      <c r="L449" s="1"/>
      <c r="M449" s="1"/>
      <c r="N449" s="1"/>
      <c r="O449" s="1"/>
      <c r="P449" s="1"/>
      <c r="Q449" s="1"/>
      <c r="R449" s="1"/>
      <c r="S449" s="1"/>
      <c r="T449" s="1"/>
      <c r="U449" s="1"/>
      <c r="V449" s="1"/>
    </row>
    <row r="450" ht="12.0" customHeight="1">
      <c r="A450" s="323"/>
      <c r="B450" s="135" t="s">
        <v>186</v>
      </c>
      <c r="C450" s="171">
        <f t="shared" si="17"/>
        <v>380</v>
      </c>
      <c r="D450" s="137">
        <f>ROUNDUP((C450/C32/2),0)</f>
        <v>38</v>
      </c>
      <c r="E450" s="138" t="str">
        <f>DEC2HEX(((D450)*2^0),8)</f>
        <v>00000026</v>
      </c>
      <c r="F450" s="195" t="s">
        <v>635</v>
      </c>
      <c r="G450" s="140"/>
      <c r="H450" s="140"/>
      <c r="I450" s="50"/>
      <c r="J450" s="1"/>
      <c r="K450" s="1"/>
      <c r="L450" s="1"/>
      <c r="M450" s="1"/>
      <c r="N450" s="1"/>
      <c r="O450" s="1"/>
      <c r="P450" s="1"/>
      <c r="Q450" s="1"/>
      <c r="R450" s="1"/>
      <c r="S450" s="1"/>
      <c r="T450" s="1"/>
      <c r="U450" s="1"/>
      <c r="V450" s="1"/>
    </row>
    <row r="451" ht="12.0" customHeight="1">
      <c r="A451" s="323"/>
      <c r="B451" s="109"/>
      <c r="C451" s="109"/>
      <c r="D451" s="109"/>
      <c r="E451" s="142"/>
      <c r="F451" s="151"/>
      <c r="G451" s="142"/>
      <c r="H451" s="142"/>
      <c r="I451" s="142"/>
      <c r="J451" s="1"/>
      <c r="K451" s="1"/>
      <c r="L451" s="1"/>
      <c r="M451" s="1"/>
      <c r="N451" s="1"/>
      <c r="O451" s="1"/>
      <c r="P451" s="1"/>
      <c r="Q451" s="1"/>
      <c r="R451" s="1"/>
      <c r="S451" s="1"/>
      <c r="T451" s="1"/>
      <c r="U451" s="1"/>
      <c r="V451" s="1"/>
    </row>
    <row r="452" ht="12.0" customHeight="1">
      <c r="A452" s="323"/>
      <c r="B452" s="252" t="s">
        <v>656</v>
      </c>
      <c r="C452" s="253" t="s">
        <v>91</v>
      </c>
      <c r="D452" s="254">
        <v>1.0</v>
      </c>
      <c r="E452" s="121" t="str">
        <f>DEC2HEX(((D452)*2^23),8)</f>
        <v>00800000</v>
      </c>
      <c r="F452" s="193" t="s">
        <v>635</v>
      </c>
      <c r="G452" s="256" t="s">
        <v>657</v>
      </c>
      <c r="H452" s="156" t="str">
        <f>"0x"&amp;DEC2HEX((HEX2DEC(C36)+220), 8)</f>
        <v>0x3D4020DC</v>
      </c>
      <c r="I452" s="157" t="str">
        <f>"0x"&amp;DEC2HEX((HEX2DEC(E452)+HEX2DEC(E453)+HEX2DEC(E454)+HEX2DEC(E455)+HEX2DEC(E456)+HEX2DEC(E457)+HEX2DEC(E458)+HEX2DEC(E459)+HEX2DEC(E460)),8)</f>
        <v>0x00840000</v>
      </c>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ht="12.0" customHeight="1">
      <c r="A453" s="323"/>
      <c r="B453" s="257" t="s">
        <v>658</v>
      </c>
      <c r="C453" s="175" t="s">
        <v>91</v>
      </c>
      <c r="D453" s="176">
        <f>D459</f>
        <v>0</v>
      </c>
      <c r="E453" s="132" t="str">
        <f>DEC2HEX(((D453)*2^20),8)</f>
        <v>00000000</v>
      </c>
      <c r="F453" s="203" t="s">
        <v>635</v>
      </c>
      <c r="G453" s="259"/>
      <c r="H453" s="60"/>
      <c r="I453" s="164"/>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ht="12.0" customHeight="1">
      <c r="A454" s="323"/>
      <c r="B454" s="257" t="s">
        <v>659</v>
      </c>
      <c r="C454" s="175" t="s">
        <v>91</v>
      </c>
      <c r="D454" s="130">
        <v>0.0</v>
      </c>
      <c r="E454" s="132" t="str">
        <f>DEC2HEX(((D454)*2^19),8)</f>
        <v>00000000</v>
      </c>
      <c r="F454" s="203" t="s">
        <v>635</v>
      </c>
      <c r="G454" s="259"/>
      <c r="H454" s="60"/>
      <c r="I454" s="164"/>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ht="12.0" customHeight="1">
      <c r="A455" s="323"/>
      <c r="B455" s="257" t="s">
        <v>660</v>
      </c>
      <c r="C455" s="175" t="s">
        <v>91</v>
      </c>
      <c r="D455" s="130">
        <v>1.0</v>
      </c>
      <c r="E455" s="132" t="str">
        <f>DEC2HEX(((D455)*2^18),8)</f>
        <v>00040000</v>
      </c>
      <c r="F455" s="203" t="s">
        <v>635</v>
      </c>
      <c r="G455" s="259"/>
      <c r="H455" s="60"/>
      <c r="I455" s="164"/>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ht="12.0" customHeight="1">
      <c r="A456" s="323"/>
      <c r="B456" s="261" t="s">
        <v>661</v>
      </c>
      <c r="C456" s="178" t="s">
        <v>91</v>
      </c>
      <c r="D456" s="138">
        <v>0.0</v>
      </c>
      <c r="E456" s="136" t="str">
        <f>DEC2HEX(((D456)*2^16),8)</f>
        <v>00000000</v>
      </c>
      <c r="F456" s="195" t="s">
        <v>635</v>
      </c>
      <c r="G456" s="259"/>
      <c r="H456" s="60"/>
      <c r="I456" s="164"/>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ht="12.0" customHeight="1">
      <c r="A457" s="323"/>
      <c r="B457" s="263" t="s">
        <v>662</v>
      </c>
      <c r="C457" s="264" t="s">
        <v>91</v>
      </c>
      <c r="D457" s="265">
        <v>0.0</v>
      </c>
      <c r="E457" s="126" t="str">
        <f>DEC2HEX(((D457)*2^7),8)</f>
        <v>00000000</v>
      </c>
      <c r="F457" s="193" t="s">
        <v>635</v>
      </c>
      <c r="G457" s="259"/>
      <c r="H457" s="60"/>
      <c r="I457" s="164"/>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ht="12.0" customHeight="1">
      <c r="A458" s="323"/>
      <c r="B458" s="263" t="s">
        <v>663</v>
      </c>
      <c r="C458" s="175" t="s">
        <v>91</v>
      </c>
      <c r="D458" s="267">
        <v>0.0</v>
      </c>
      <c r="E458" s="126" t="str">
        <f>DEC2HEX(((D458)*2^6),8)</f>
        <v>00000000</v>
      </c>
      <c r="F458" s="203" t="s">
        <v>635</v>
      </c>
      <c r="G458" s="259"/>
      <c r="H458" s="60"/>
      <c r="I458" s="164"/>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ht="12.0" customHeight="1">
      <c r="A459" s="323"/>
      <c r="B459" s="263" t="s">
        <v>664</v>
      </c>
      <c r="C459" s="175" t="s">
        <v>91</v>
      </c>
      <c r="D459" s="176">
        <f>(C373-4)/2</f>
        <v>0</v>
      </c>
      <c r="E459" s="126" t="str">
        <f>DEC2HEX(((D459)*2^3),8)</f>
        <v>00000000</v>
      </c>
      <c r="F459" s="203" t="s">
        <v>635</v>
      </c>
      <c r="G459" s="259"/>
      <c r="H459" s="60"/>
      <c r="I459" s="164"/>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ht="12.0" customHeight="1">
      <c r="A460" s="323"/>
      <c r="B460" s="268" t="s">
        <v>665</v>
      </c>
      <c r="C460" s="178" t="s">
        <v>91</v>
      </c>
      <c r="D460" s="158">
        <f>D459</f>
        <v>0</v>
      </c>
      <c r="E460" s="269" t="str">
        <f>DEC2HEX(((D460)*2^0),8)</f>
        <v>00000000</v>
      </c>
      <c r="F460" s="195" t="s">
        <v>635</v>
      </c>
      <c r="G460" s="49"/>
      <c r="H460" s="140"/>
      <c r="I460" s="50"/>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ht="12.0" customHeight="1">
      <c r="A461" s="323"/>
      <c r="B461" s="109"/>
      <c r="C461" s="109"/>
      <c r="D461" s="109"/>
      <c r="E461" s="142"/>
      <c r="F461" s="151"/>
      <c r="G461" s="142"/>
      <c r="H461" s="142"/>
      <c r="I461" s="142"/>
      <c r="J461" s="1"/>
      <c r="K461" s="1"/>
      <c r="L461" s="1"/>
      <c r="M461" s="1"/>
      <c r="N461" s="1"/>
      <c r="O461" s="1"/>
      <c r="P461" s="1"/>
      <c r="Q461" s="1"/>
      <c r="R461" s="1"/>
      <c r="S461" s="1"/>
      <c r="T461" s="1"/>
      <c r="U461" s="1"/>
      <c r="V461" s="1"/>
    </row>
    <row r="462" ht="12.0" customHeight="1">
      <c r="A462" s="323"/>
      <c r="B462" s="286" t="s">
        <v>666</v>
      </c>
      <c r="C462" s="117" t="s">
        <v>91</v>
      </c>
      <c r="D462" s="287">
        <v>6.0</v>
      </c>
      <c r="E462" s="119" t="str">
        <f>DEC2HEX(((D462)*2^20),8)</f>
        <v>00600000</v>
      </c>
      <c r="F462" s="193" t="s">
        <v>635</v>
      </c>
      <c r="G462" s="289" t="s">
        <v>667</v>
      </c>
      <c r="H462" s="289" t="str">
        <f>"0x"&amp;DEC2HEX((HEX2DEC(C36)+232), 8)</f>
        <v>0x3D4020E8</v>
      </c>
      <c r="I462" s="290" t="str">
        <f>"0x"&amp;DEC2HEX((HEX2DEC(E462)+HEX2DEC(E463)+HEX2DEC(E464)+HEX2DEC(E465)), 8)</f>
        <v>0x00660048</v>
      </c>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ht="12.0" customHeight="1">
      <c r="A463" s="323"/>
      <c r="B463" s="291" t="s">
        <v>668</v>
      </c>
      <c r="C463" s="175" t="s">
        <v>91</v>
      </c>
      <c r="D463" s="279">
        <v>6.0</v>
      </c>
      <c r="E463" s="126" t="str">
        <f>DEC2HEX(((D463)*2^16),8)</f>
        <v>00060000</v>
      </c>
      <c r="F463" s="203" t="s">
        <v>635</v>
      </c>
      <c r="G463" s="60"/>
      <c r="H463" s="60"/>
      <c r="I463" s="164"/>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ht="12.0" customHeight="1">
      <c r="A464" s="323"/>
      <c r="B464" s="291" t="s">
        <v>669</v>
      </c>
      <c r="C464" s="175" t="s">
        <v>91</v>
      </c>
      <c r="D464" s="176">
        <f t="shared" ref="D464:D465" si="18">D238</f>
        <v>1</v>
      </c>
      <c r="E464" s="126" t="str">
        <f>DEC2HEX(((D464)*2^6),8)</f>
        <v>00000040</v>
      </c>
      <c r="F464" s="203" t="s">
        <v>635</v>
      </c>
      <c r="G464" s="60"/>
      <c r="H464" s="60"/>
      <c r="I464" s="164"/>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ht="12.0" customHeight="1">
      <c r="A465" s="323"/>
      <c r="B465" s="293" t="s">
        <v>670</v>
      </c>
      <c r="C465" s="178" t="s">
        <v>91</v>
      </c>
      <c r="D465" s="158">
        <f t="shared" si="18"/>
        <v>8</v>
      </c>
      <c r="E465" s="269" t="str">
        <f>DEC2HEX(((D465)*2^0),8)</f>
        <v>00000008</v>
      </c>
      <c r="F465" s="195" t="s">
        <v>635</v>
      </c>
      <c r="G465" s="140"/>
      <c r="H465" s="140"/>
      <c r="I465" s="50"/>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ht="12.0" customHeight="1">
      <c r="A466" s="323"/>
      <c r="B466" s="109"/>
      <c r="C466" s="109"/>
      <c r="D466" s="109"/>
      <c r="E466" s="142"/>
      <c r="F466" s="151"/>
      <c r="G466" s="142"/>
      <c r="H466" s="142"/>
      <c r="I466" s="142"/>
      <c r="J466" s="1"/>
      <c r="K466" s="1"/>
      <c r="L466" s="1"/>
      <c r="M466" s="1"/>
      <c r="N466" s="1"/>
      <c r="O466" s="1"/>
      <c r="P466" s="1"/>
      <c r="Q466" s="1"/>
      <c r="R466" s="1"/>
      <c r="S466" s="1"/>
      <c r="T466" s="1"/>
      <c r="U466" s="1"/>
      <c r="V466" s="1"/>
    </row>
    <row r="467" ht="12.0" customHeight="1">
      <c r="A467" s="323"/>
      <c r="B467" s="286" t="s">
        <v>671</v>
      </c>
      <c r="C467" s="117" t="s">
        <v>91</v>
      </c>
      <c r="D467" s="287">
        <v>0.0</v>
      </c>
      <c r="E467" s="119" t="str">
        <f>DEC2HEX(((D467)*2^21),8)</f>
        <v>00000000</v>
      </c>
      <c r="F467" s="193" t="s">
        <v>635</v>
      </c>
      <c r="G467" s="289" t="s">
        <v>672</v>
      </c>
      <c r="H467" s="289" t="str">
        <f>"0x"&amp;DEC2HEX((HEX2DEC(C36)+236), 8)</f>
        <v>0x3D4020EC</v>
      </c>
      <c r="I467" s="290" t="str">
        <f>"0x"&amp;DEC2HEX((HEX2DEC(E467)+HEX2DEC(E468)+HEX2DEC(E469)+HEX2DEC(E470)+HEX2DEC(E471)+HEX2DEC(E472) ), 8)</f>
        <v>0x00160048</v>
      </c>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ht="12.0" customHeight="1">
      <c r="A468" s="323"/>
      <c r="B468" s="291" t="s">
        <v>673</v>
      </c>
      <c r="C468" s="175" t="s">
        <v>91</v>
      </c>
      <c r="D468" s="279">
        <v>1.0</v>
      </c>
      <c r="E468" s="126" t="str">
        <f>DEC2HEX(((D468)*2^20),8)</f>
        <v>00100000</v>
      </c>
      <c r="F468" s="203" t="s">
        <v>635</v>
      </c>
      <c r="G468" s="60"/>
      <c r="H468" s="60"/>
      <c r="I468" s="164"/>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ht="12.0" customHeight="1">
      <c r="A469" s="323"/>
      <c r="B469" s="291" t="s">
        <v>674</v>
      </c>
      <c r="C469" s="175" t="s">
        <v>91</v>
      </c>
      <c r="D469" s="279">
        <v>0.0</v>
      </c>
      <c r="E469" s="126" t="str">
        <f>DEC2HEX(((D469)*2^19),8)</f>
        <v>00000000</v>
      </c>
      <c r="F469" s="203" t="s">
        <v>635</v>
      </c>
      <c r="G469" s="60"/>
      <c r="H469" s="60"/>
      <c r="I469" s="164"/>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ht="12.0" customHeight="1">
      <c r="A470" s="323"/>
      <c r="B470" s="291" t="s">
        <v>675</v>
      </c>
      <c r="C470" s="175" t="s">
        <v>91</v>
      </c>
      <c r="D470" s="279">
        <v>6.0</v>
      </c>
      <c r="E470" s="126" t="str">
        <f>DEC2HEX(((D470)*2^16),8)</f>
        <v>00060000</v>
      </c>
      <c r="F470" s="203" t="s">
        <v>635</v>
      </c>
      <c r="G470" s="60"/>
      <c r="H470" s="60"/>
      <c r="I470" s="164"/>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ht="12.0" customHeight="1">
      <c r="A471" s="323"/>
      <c r="B471" s="291" t="s">
        <v>676</v>
      </c>
      <c r="C471" s="175" t="s">
        <v>91</v>
      </c>
      <c r="D471" s="176">
        <f t="shared" ref="D471:D472" si="19">D245</f>
        <v>1</v>
      </c>
      <c r="E471" s="126" t="str">
        <f>DEC2HEX(((D471)*2^6),8)</f>
        <v>00000040</v>
      </c>
      <c r="F471" s="203" t="s">
        <v>635</v>
      </c>
      <c r="G471" s="60"/>
      <c r="H471" s="60"/>
      <c r="I471" s="164"/>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ht="12.0" customHeight="1">
      <c r="A472" s="323"/>
      <c r="B472" s="293" t="s">
        <v>677</v>
      </c>
      <c r="C472" s="178" t="s">
        <v>91</v>
      </c>
      <c r="D472" s="158">
        <f t="shared" si="19"/>
        <v>8</v>
      </c>
      <c r="E472" s="269" t="str">
        <f>DEC2HEX(((D472)*2^0),8)</f>
        <v>00000008</v>
      </c>
      <c r="F472" s="195" t="s">
        <v>635</v>
      </c>
      <c r="G472" s="140"/>
      <c r="H472" s="140"/>
      <c r="I472" s="50"/>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ht="12.0" customHeight="1">
      <c r="A473" s="323"/>
      <c r="B473" s="109"/>
      <c r="C473" s="109"/>
      <c r="D473" s="109"/>
      <c r="E473" s="142"/>
      <c r="F473" s="151"/>
      <c r="G473" s="142"/>
      <c r="H473" s="142"/>
      <c r="I473" s="142"/>
      <c r="J473" s="1"/>
      <c r="K473" s="1"/>
      <c r="L473" s="1"/>
      <c r="M473" s="1"/>
      <c r="N473" s="1"/>
      <c r="O473" s="1"/>
      <c r="P473" s="1"/>
      <c r="Q473" s="1"/>
      <c r="R473" s="1"/>
      <c r="S473" s="1"/>
      <c r="T473" s="1"/>
      <c r="U473" s="1"/>
      <c r="V473" s="1"/>
    </row>
    <row r="474" ht="12.0" customHeight="1">
      <c r="A474" s="323"/>
      <c r="B474" s="275" t="s">
        <v>678</v>
      </c>
      <c r="C474" s="117" t="s">
        <v>91</v>
      </c>
      <c r="D474" s="216">
        <f t="shared" ref="D474:D475" si="20">D221</f>
        <v>0</v>
      </c>
      <c r="E474" s="119" t="str">
        <f>DEC2HEX(((D474)*2^23),8)</f>
        <v>00000000</v>
      </c>
      <c r="F474" s="193" t="s">
        <v>635</v>
      </c>
      <c r="G474" s="256" t="s">
        <v>679</v>
      </c>
      <c r="H474" s="156" t="str">
        <f>"0x"&amp;DEC2HEX((HEX2DEC(C36)+224), 8)</f>
        <v>0x3D4020E0</v>
      </c>
      <c r="I474" s="157" t="str">
        <f>"0x"&amp;DEC2HEX((HEX2DEC(E474)+HEX2DEC(E475)+HEX2DEC(E476)+HEX2DEC(E477)+HEX2DEC(E478)+HEX2DEC(E479)+HEX2DEC(E480)+HEX2DEC(E481)+HEX2DEC(E482)+HEX2DEC(E483)+HEX2DEC(E484)+HEX2DEC(E485)+HEX2DEC(E486)+HEX2DEC(E487) ), 8)</f>
        <v>0x00330000</v>
      </c>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ht="12.0" customHeight="1">
      <c r="A475" s="323"/>
      <c r="B475" s="257" t="s">
        <v>680</v>
      </c>
      <c r="C475" s="175" t="s">
        <v>91</v>
      </c>
      <c r="D475" s="176">
        <f t="shared" si="20"/>
        <v>0</v>
      </c>
      <c r="E475" s="132" t="str">
        <f>DEC2HEX(((D475)*2^22),8)</f>
        <v>00000000</v>
      </c>
      <c r="F475" s="203" t="s">
        <v>635</v>
      </c>
      <c r="G475" s="259"/>
      <c r="H475" s="60"/>
      <c r="I475" s="164"/>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ht="12.0" customHeight="1">
      <c r="A476" s="323"/>
      <c r="B476" s="257" t="s">
        <v>681</v>
      </c>
      <c r="C476" s="175" t="s">
        <v>91</v>
      </c>
      <c r="D476" s="278">
        <v>6.0</v>
      </c>
      <c r="E476" s="132" t="str">
        <f>DEC2HEX(((D476)*2^19),8)</f>
        <v>00300000</v>
      </c>
      <c r="F476" s="203" t="s">
        <v>635</v>
      </c>
      <c r="G476" s="259"/>
      <c r="H476" s="60"/>
      <c r="I476" s="164"/>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ht="12.0" customHeight="1">
      <c r="A477" s="323"/>
      <c r="B477" s="257" t="s">
        <v>682</v>
      </c>
      <c r="C477" s="175" t="s">
        <v>91</v>
      </c>
      <c r="D477" s="130">
        <v>0.0</v>
      </c>
      <c r="E477" s="132" t="str">
        <f>DEC2HEX(((D477)*2^18),8)</f>
        <v>00000000</v>
      </c>
      <c r="F477" s="203" t="s">
        <v>635</v>
      </c>
      <c r="G477" s="259"/>
      <c r="H477" s="60"/>
      <c r="I477" s="164"/>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ht="12.0" customHeight="1">
      <c r="A478" s="323"/>
      <c r="B478" s="257" t="s">
        <v>683</v>
      </c>
      <c r="C478" s="175" t="s">
        <v>91</v>
      </c>
      <c r="D478" s="279">
        <v>1.0</v>
      </c>
      <c r="E478" s="132" t="str">
        <f>DEC2HEX(((D478)*2^17),8)</f>
        <v>00020000</v>
      </c>
      <c r="F478" s="203" t="s">
        <v>635</v>
      </c>
      <c r="G478" s="259"/>
      <c r="H478" s="60"/>
      <c r="I478" s="164"/>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ht="12.0" customHeight="1">
      <c r="A479" s="323"/>
      <c r="B479" s="261" t="s">
        <v>684</v>
      </c>
      <c r="C479" s="178" t="s">
        <v>91</v>
      </c>
      <c r="D479" s="280">
        <v>1.0</v>
      </c>
      <c r="E479" s="136" t="str">
        <f>DEC2HEX(((D479)*2^16),8)</f>
        <v>00010000</v>
      </c>
      <c r="F479" s="195" t="s">
        <v>635</v>
      </c>
      <c r="G479" s="259"/>
      <c r="H479" s="60"/>
      <c r="I479" s="164"/>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ht="12.0" customHeight="1">
      <c r="A480" s="323"/>
      <c r="B480" s="282" t="s">
        <v>685</v>
      </c>
      <c r="C480" s="264" t="s">
        <v>91</v>
      </c>
      <c r="D480" s="206">
        <v>0.0</v>
      </c>
      <c r="E480" s="126" t="str">
        <f>DEC2HEX(((D480)*2^7),8)</f>
        <v>00000000</v>
      </c>
      <c r="F480" s="193" t="s">
        <v>635</v>
      </c>
      <c r="G480" s="259"/>
      <c r="H480" s="60"/>
      <c r="I480" s="164"/>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ht="12.0" customHeight="1">
      <c r="A481" s="323"/>
      <c r="B481" s="284" t="s">
        <v>686</v>
      </c>
      <c r="C481" s="175" t="s">
        <v>91</v>
      </c>
      <c r="D481" s="130">
        <v>0.0</v>
      </c>
      <c r="E481" s="132" t="str">
        <f>DEC2HEX(((D481)*2^6),8)</f>
        <v>00000000</v>
      </c>
      <c r="F481" s="203" t="s">
        <v>635</v>
      </c>
      <c r="G481" s="259"/>
      <c r="H481" s="60"/>
      <c r="I481" s="164"/>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ht="12.0" customHeight="1">
      <c r="A482" s="323"/>
      <c r="B482" s="284" t="s">
        <v>687</v>
      </c>
      <c r="C482" s="175" t="s">
        <v>91</v>
      </c>
      <c r="D482" s="279">
        <v>0.0</v>
      </c>
      <c r="E482" s="132" t="str">
        <f>DEC2HEX(((D482)*2^5),8)</f>
        <v>00000000</v>
      </c>
      <c r="F482" s="203" t="s">
        <v>635</v>
      </c>
      <c r="G482" s="259"/>
      <c r="H482" s="60"/>
      <c r="I482" s="164"/>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ht="12.0" customHeight="1">
      <c r="A483" s="323"/>
      <c r="B483" s="284" t="s">
        <v>688</v>
      </c>
      <c r="C483" s="175" t="s">
        <v>91</v>
      </c>
      <c r="D483" s="130">
        <v>0.0</v>
      </c>
      <c r="E483" s="132" t="str">
        <f>DEC2HEX(((D483)*2^4),8)</f>
        <v>00000000</v>
      </c>
      <c r="F483" s="203" t="s">
        <v>635</v>
      </c>
      <c r="G483" s="259"/>
      <c r="H483" s="60"/>
      <c r="I483" s="164"/>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ht="12.0" customHeight="1">
      <c r="A484" s="323"/>
      <c r="B484" s="284" t="s">
        <v>689</v>
      </c>
      <c r="C484" s="175" t="s">
        <v>91</v>
      </c>
      <c r="D484" s="176">
        <f>D231</f>
        <v>0</v>
      </c>
      <c r="E484" s="132" t="str">
        <f>DEC2HEX(((D484)*2^3),8)</f>
        <v>00000000</v>
      </c>
      <c r="F484" s="203" t="s">
        <v>635</v>
      </c>
      <c r="G484" s="259"/>
      <c r="H484" s="60"/>
      <c r="I484" s="164"/>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ht="12.0" customHeight="1">
      <c r="A485" s="323"/>
      <c r="B485" s="284" t="s">
        <v>690</v>
      </c>
      <c r="C485" s="175" t="s">
        <v>91</v>
      </c>
      <c r="D485" s="130">
        <v>0.0</v>
      </c>
      <c r="E485" s="132" t="str">
        <f>DEC2HEX(((D485)*2^2),8)</f>
        <v>00000000</v>
      </c>
      <c r="F485" s="203" t="s">
        <v>635</v>
      </c>
      <c r="G485" s="259"/>
      <c r="H485" s="60"/>
      <c r="I485" s="164"/>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ht="12.0" customHeight="1">
      <c r="A486" s="323"/>
      <c r="B486" s="284" t="s">
        <v>691</v>
      </c>
      <c r="C486" s="175" t="s">
        <v>91</v>
      </c>
      <c r="D486" s="130">
        <v>0.0</v>
      </c>
      <c r="E486" s="132" t="str">
        <f>DEC2HEX(((D486)*2^1),8)</f>
        <v>00000000</v>
      </c>
      <c r="F486" s="203" t="s">
        <v>635</v>
      </c>
      <c r="G486" s="259"/>
      <c r="H486" s="60"/>
      <c r="I486" s="164"/>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ht="12.0" customHeight="1">
      <c r="A487" s="323"/>
      <c r="B487" s="285" t="s">
        <v>692</v>
      </c>
      <c r="C487" s="178" t="s">
        <v>91</v>
      </c>
      <c r="D487" s="138">
        <v>0.0</v>
      </c>
      <c r="E487" s="136" t="str">
        <f>DEC2HEX(((D487)*2^0),8)</f>
        <v>00000000</v>
      </c>
      <c r="F487" s="195" t="s">
        <v>635</v>
      </c>
      <c r="G487" s="49"/>
      <c r="H487" s="140"/>
      <c r="I487" s="50"/>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ht="12.0" customHeight="1">
      <c r="A488" s="323"/>
      <c r="B488" s="109"/>
      <c r="C488" s="109"/>
      <c r="D488" s="109"/>
      <c r="E488" s="142"/>
      <c r="F488" s="151"/>
      <c r="G488" s="142"/>
      <c r="H488" s="142"/>
      <c r="I488" s="142"/>
      <c r="J488" s="1"/>
      <c r="K488" s="1"/>
      <c r="L488" s="1"/>
      <c r="M488" s="1"/>
      <c r="N488" s="1"/>
      <c r="O488" s="1"/>
      <c r="P488" s="1"/>
      <c r="Q488" s="1"/>
      <c r="R488" s="1"/>
      <c r="S488" s="1"/>
      <c r="T488" s="1"/>
      <c r="U488" s="1"/>
      <c r="V488" s="1"/>
    </row>
    <row r="489" ht="12.0" customHeight="1">
      <c r="A489" s="323"/>
      <c r="B489" s="116" t="s">
        <v>203</v>
      </c>
      <c r="C489" s="119">
        <v>12.0</v>
      </c>
      <c r="D489" s="168">
        <f>(C489)</f>
        <v>12</v>
      </c>
      <c r="E489" s="154" t="str">
        <f>DEC2HEX(((D489)*2^8),8)</f>
        <v>00000C00</v>
      </c>
      <c r="F489" s="333" t="s">
        <v>635</v>
      </c>
      <c r="G489" s="156" t="s">
        <v>693</v>
      </c>
      <c r="H489" s="156" t="str">
        <f>"0x"&amp;DEC2HEX((HEX2DEC(C36)+244), 8)</f>
        <v>0x3D4020F4</v>
      </c>
      <c r="I489" s="157" t="str">
        <f>"0x"&amp;DEC2HEX((HEX2DEC(E489)+HEX2DEC(E490)+HEX2DEC(E491)), 8)</f>
        <v>0x00000C99</v>
      </c>
      <c r="J489" s="1"/>
      <c r="K489" s="1"/>
      <c r="L489" s="1"/>
      <c r="M489" s="1"/>
      <c r="N489" s="1"/>
      <c r="O489" s="1"/>
      <c r="P489" s="1"/>
      <c r="Q489" s="1"/>
      <c r="R489" s="1"/>
      <c r="S489" s="1"/>
      <c r="T489" s="1"/>
      <c r="U489" s="1"/>
      <c r="V489" s="1"/>
    </row>
    <row r="490" ht="12.0" customHeight="1">
      <c r="A490" s="323"/>
      <c r="B490" s="128" t="s">
        <v>206</v>
      </c>
      <c r="C490" s="132">
        <v>8.0</v>
      </c>
      <c r="D490" s="133">
        <f>(C490+1)</f>
        <v>9</v>
      </c>
      <c r="E490" s="130" t="str">
        <f>DEC2HEX(((D490)*2^4),8)</f>
        <v>00000090</v>
      </c>
      <c r="F490" s="334" t="s">
        <v>635</v>
      </c>
      <c r="G490" s="60"/>
      <c r="H490" s="60"/>
      <c r="I490" s="164"/>
      <c r="J490" s="1"/>
      <c r="K490" s="1"/>
      <c r="L490" s="1"/>
      <c r="M490" s="1"/>
      <c r="N490" s="1"/>
      <c r="O490" s="1"/>
      <c r="P490" s="1"/>
      <c r="Q490" s="1"/>
      <c r="R490" s="1"/>
      <c r="S490" s="1"/>
      <c r="T490" s="1"/>
      <c r="U490" s="1"/>
      <c r="V490" s="1"/>
    </row>
    <row r="491" ht="12.0" customHeight="1">
      <c r="A491" s="323"/>
      <c r="B491" s="135" t="s">
        <v>208</v>
      </c>
      <c r="C491" s="136">
        <v>9.0</v>
      </c>
      <c r="D491" s="136">
        <v>9.0</v>
      </c>
      <c r="E491" s="138" t="str">
        <f>DEC2HEX(((D491)*2^0),8)</f>
        <v>00000009</v>
      </c>
      <c r="F491" s="335" t="s">
        <v>635</v>
      </c>
      <c r="G491" s="140"/>
      <c r="H491" s="140"/>
      <c r="I491" s="50"/>
      <c r="J491" s="1"/>
      <c r="K491" s="1"/>
      <c r="L491" s="1"/>
      <c r="M491" s="1"/>
      <c r="N491" s="1"/>
      <c r="O491" s="1"/>
      <c r="P491" s="1"/>
      <c r="Q491" s="1"/>
      <c r="R491" s="1"/>
      <c r="S491" s="1"/>
      <c r="T491" s="1"/>
      <c r="U491" s="1"/>
      <c r="V491" s="1"/>
    </row>
    <row r="492" ht="12.0" customHeight="1">
      <c r="A492" s="323"/>
      <c r="B492" s="109"/>
      <c r="C492" s="109"/>
      <c r="D492" s="109"/>
      <c r="E492" s="142"/>
      <c r="F492" s="151"/>
      <c r="G492" s="142"/>
      <c r="H492" s="142"/>
      <c r="I492" s="142"/>
      <c r="J492" s="1"/>
      <c r="K492" s="1"/>
      <c r="L492" s="1"/>
      <c r="M492" s="1"/>
      <c r="N492" s="1"/>
      <c r="O492" s="1"/>
      <c r="P492" s="1"/>
      <c r="Q492" s="1"/>
      <c r="R492" s="1"/>
      <c r="S492" s="1"/>
      <c r="T492" s="1"/>
      <c r="U492" s="1"/>
      <c r="V492" s="1"/>
    </row>
    <row r="493" ht="12.0" customHeight="1">
      <c r="A493" s="323"/>
      <c r="B493" s="325"/>
      <c r="C493" s="325"/>
      <c r="D493" s="325"/>
      <c r="E493" s="326"/>
      <c r="F493" s="327"/>
      <c r="G493" s="326"/>
      <c r="H493" s="326"/>
      <c r="I493" s="326"/>
      <c r="J493" s="1"/>
      <c r="K493" s="1"/>
      <c r="L493" s="1"/>
      <c r="M493" s="1"/>
      <c r="N493" s="1"/>
      <c r="O493" s="1"/>
      <c r="P493" s="1"/>
      <c r="Q493" s="1"/>
      <c r="R493" s="1"/>
      <c r="S493" s="1"/>
      <c r="T493" s="1"/>
      <c r="U493" s="1"/>
      <c r="V493" s="1"/>
    </row>
    <row r="494" ht="12.0" customHeight="1">
      <c r="A494" s="336"/>
      <c r="B494" s="337" t="s">
        <v>694</v>
      </c>
      <c r="C494" s="153"/>
      <c r="D494" s="153"/>
      <c r="E494" s="153"/>
      <c r="F494" s="153"/>
      <c r="G494" s="153"/>
      <c r="H494" s="153"/>
      <c r="I494" s="73"/>
      <c r="J494" s="1"/>
      <c r="K494" s="1"/>
      <c r="L494" s="1"/>
      <c r="M494" s="1"/>
      <c r="N494" s="1"/>
      <c r="O494" s="1"/>
      <c r="P494" s="1"/>
      <c r="Q494" s="1"/>
      <c r="R494" s="1"/>
      <c r="S494" s="1"/>
      <c r="T494" s="1"/>
      <c r="U494" s="1"/>
      <c r="V494" s="1"/>
    </row>
    <row r="495" ht="12.0" customHeight="1">
      <c r="A495" s="336"/>
      <c r="B495" s="116" t="s">
        <v>210</v>
      </c>
      <c r="C495" s="168">
        <f>MAX(18/C34, 6)</f>
        <v>6</v>
      </c>
      <c r="D495" s="204">
        <f>ROUNDUP((1+C504+D48+ROUNDUP((C495),0))/2, 0)</f>
        <v>10</v>
      </c>
      <c r="E495" s="154" t="str">
        <f>DEC2HEX(((D495)*2^24),8)</f>
        <v>0A000000</v>
      </c>
      <c r="F495" s="155" t="s">
        <v>635</v>
      </c>
      <c r="G495" s="156" t="s">
        <v>695</v>
      </c>
      <c r="H495" s="156" t="str">
        <f>"0x"&amp;DEC2HEX((HEX2DEC(C37)+256), 8)</f>
        <v>0x3D403100</v>
      </c>
      <c r="I495" s="157" t="str">
        <f>"0x"&amp;DEC2HEX((HEX2DEC(E495)+HEX2DEC(E496)+HEX2DEC(E497)+HEX2DEC(E498)), 8)</f>
        <v>0x0A010102</v>
      </c>
      <c r="J495" s="134"/>
      <c r="K495" s="1"/>
      <c r="L495" s="1"/>
      <c r="M495" s="1"/>
      <c r="N495" s="1"/>
      <c r="O495" s="1"/>
      <c r="P495" s="1"/>
      <c r="Q495" s="1"/>
      <c r="R495" s="1"/>
      <c r="S495" s="1"/>
      <c r="T495" s="1"/>
      <c r="U495" s="1"/>
      <c r="V495" s="1"/>
    </row>
    <row r="496" ht="12.0" customHeight="1">
      <c r="A496" s="336"/>
      <c r="B496" s="123" t="s">
        <v>213</v>
      </c>
      <c r="C496" s="133">
        <f t="shared" ref="C496:C497" si="21">C117</f>
        <v>40</v>
      </c>
      <c r="D496" s="129">
        <f>ROUNDUP(((C496/C34)/2),0)</f>
        <v>1</v>
      </c>
      <c r="E496" s="206" t="str">
        <f>DEC2HEX(((D496)*2^16),8)</f>
        <v>00010000</v>
      </c>
      <c r="F496" s="207" t="s">
        <v>635</v>
      </c>
      <c r="G496" s="60"/>
      <c r="H496" s="60"/>
      <c r="I496" s="164"/>
      <c r="J496" s="1"/>
      <c r="K496" s="1"/>
      <c r="L496" s="1"/>
      <c r="M496" s="1"/>
      <c r="N496" s="1"/>
      <c r="O496" s="1"/>
      <c r="P496" s="1"/>
      <c r="Q496" s="1"/>
      <c r="R496" s="1"/>
      <c r="S496" s="1"/>
      <c r="T496" s="1"/>
      <c r="U496" s="1"/>
      <c r="V496" s="1"/>
    </row>
    <row r="497" ht="12.0" customHeight="1">
      <c r="A497" s="336"/>
      <c r="B497" s="128" t="s">
        <v>215</v>
      </c>
      <c r="C497" s="133">
        <f t="shared" si="21"/>
        <v>35136</v>
      </c>
      <c r="D497" s="177">
        <f>IF(ROUNDDOWN(((C497/C34 - 1)/2/1024),0)&lt;1, 1, ROUNDDOWN(((C497/C34 - 1)/2/1024),0))</f>
        <v>1</v>
      </c>
      <c r="E497" s="130" t="str">
        <f>DEC2HEX(((D497)*2^8),8)</f>
        <v>00000100</v>
      </c>
      <c r="F497" s="131" t="s">
        <v>635</v>
      </c>
      <c r="G497" s="60"/>
      <c r="H497" s="60"/>
      <c r="I497" s="164"/>
      <c r="J497" s="1"/>
      <c r="K497" s="1"/>
      <c r="L497" s="1"/>
      <c r="M497" s="1"/>
      <c r="N497" s="1"/>
      <c r="O497" s="1"/>
      <c r="P497" s="1"/>
      <c r="Q497" s="1"/>
      <c r="R497" s="1"/>
      <c r="S497" s="1"/>
      <c r="T497" s="1"/>
      <c r="U497" s="1"/>
      <c r="V497" s="1"/>
    </row>
    <row r="498" ht="12.0" customHeight="1">
      <c r="A498" s="336"/>
      <c r="B498" s="135" t="s">
        <v>217</v>
      </c>
      <c r="C498" s="171">
        <f>IF(G40 = "Option 2", MAX((42+1.875)/C34, 3), MAX(42/C34, 3))</f>
        <v>3</v>
      </c>
      <c r="D498" s="137">
        <f>ROUNDUP((C498)/2,0)</f>
        <v>2</v>
      </c>
      <c r="E498" s="138" t="str">
        <f>DEC2HEX(((D498)*2^0),8)</f>
        <v>00000002</v>
      </c>
      <c r="F498" s="139" t="s">
        <v>635</v>
      </c>
      <c r="G498" s="140"/>
      <c r="H498" s="140"/>
      <c r="I498" s="50"/>
      <c r="J498" s="1"/>
      <c r="K498" s="1"/>
      <c r="L498" s="1"/>
      <c r="M498" s="1"/>
      <c r="N498" s="1"/>
      <c r="O498" s="1"/>
      <c r="P498" s="1"/>
      <c r="Q498" s="1"/>
      <c r="R498" s="1"/>
      <c r="S498" s="1"/>
      <c r="T498" s="1"/>
      <c r="U498" s="1"/>
      <c r="V498" s="1"/>
    </row>
    <row r="499" ht="11.25" customHeight="1">
      <c r="A499" s="336"/>
      <c r="B499" s="109"/>
      <c r="C499" s="141"/>
      <c r="D499" s="141"/>
      <c r="E499" s="142"/>
      <c r="F499" s="143"/>
      <c r="G499" s="142"/>
      <c r="H499" s="142"/>
      <c r="I499" s="142"/>
      <c r="J499" s="1"/>
      <c r="K499" s="1"/>
      <c r="L499" s="1"/>
      <c r="M499" s="1"/>
      <c r="N499" s="1"/>
      <c r="O499" s="1"/>
      <c r="P499" s="1"/>
      <c r="Q499" s="1"/>
      <c r="R499" s="1"/>
      <c r="S499" s="1"/>
      <c r="T499" s="1"/>
      <c r="U499" s="1"/>
      <c r="V499" s="1"/>
    </row>
    <row r="500" ht="12.0" customHeight="1">
      <c r="A500" s="336"/>
      <c r="B500" s="116" t="s">
        <v>219</v>
      </c>
      <c r="C500" s="168">
        <f>MAX(7.5/C34, 5)</f>
        <v>5</v>
      </c>
      <c r="D500" s="173">
        <f t="shared" ref="D500:D501" si="22">ROUNDUP((C500)/2,0)</f>
        <v>3</v>
      </c>
      <c r="E500" s="154" t="str">
        <f>DEC2HEX(((D500)*2^16),8)</f>
        <v>00030000</v>
      </c>
      <c r="F500" s="193" t="s">
        <v>635</v>
      </c>
      <c r="G500" s="156" t="s">
        <v>696</v>
      </c>
      <c r="H500" s="156" t="str">
        <f>"0x"&amp;DEC2HEX((HEX2DEC(C37)+260), 8)</f>
        <v>0x3D403104</v>
      </c>
      <c r="I500" s="157" t="str">
        <f>"0x"&amp;DEC2HEX((HEX2DEC(E500)+HEX2DEC(E501)+HEX2DEC(E502)), 8)</f>
        <v>0x00030404</v>
      </c>
      <c r="J500" s="1"/>
      <c r="K500" s="1"/>
      <c r="L500" s="1"/>
      <c r="M500" s="1"/>
      <c r="N500" s="1"/>
      <c r="O500" s="1"/>
      <c r="P500" s="1"/>
      <c r="Q500" s="1"/>
      <c r="R500" s="1"/>
      <c r="S500" s="1"/>
      <c r="T500" s="1"/>
      <c r="U500" s="1"/>
      <c r="V500" s="1"/>
    </row>
    <row r="501" ht="12.0" customHeight="1">
      <c r="A501" s="336"/>
      <c r="B501" s="128" t="s">
        <v>222</v>
      </c>
      <c r="C501" s="133">
        <f>MAX(7.5/C34, 8)</f>
        <v>8</v>
      </c>
      <c r="D501" s="129">
        <f t="shared" si="22"/>
        <v>4</v>
      </c>
      <c r="E501" s="130" t="str">
        <f>DEC2HEX(((D501)*2^8),8)</f>
        <v>00000400</v>
      </c>
      <c r="F501" s="203" t="s">
        <v>635</v>
      </c>
      <c r="G501" s="60"/>
      <c r="H501" s="60"/>
      <c r="I501" s="164"/>
      <c r="J501" s="208"/>
      <c r="K501" s="1"/>
      <c r="L501" s="1"/>
      <c r="M501" s="1"/>
      <c r="N501" s="1"/>
      <c r="O501" s="1"/>
      <c r="P501" s="1"/>
      <c r="Q501" s="1"/>
      <c r="R501" s="1"/>
      <c r="S501" s="1"/>
      <c r="T501" s="1"/>
      <c r="U501" s="1"/>
      <c r="V501" s="1"/>
    </row>
    <row r="502" ht="12.0" customHeight="1">
      <c r="A502" s="336"/>
      <c r="B502" s="135" t="s">
        <v>224</v>
      </c>
      <c r="C502" s="171">
        <f>IF(G40 = "Option 2", MAX((21+1.875)/C34, 4), MAX(21/C34, 4))</f>
        <v>4</v>
      </c>
      <c r="D502" s="171">
        <f>ROUNDUP(((C502+C498)/2),0)</f>
        <v>4</v>
      </c>
      <c r="E502" s="138" t="str">
        <f>DEC2HEX(((D502)*2^0),8)</f>
        <v>00000004</v>
      </c>
      <c r="F502" s="195" t="s">
        <v>635</v>
      </c>
      <c r="G502" s="140"/>
      <c r="H502" s="140"/>
      <c r="I502" s="50"/>
      <c r="J502" s="1"/>
      <c r="K502" s="1"/>
      <c r="L502" s="1"/>
      <c r="M502" s="1"/>
      <c r="N502" s="1"/>
      <c r="O502" s="1"/>
      <c r="P502" s="1"/>
      <c r="Q502" s="1"/>
      <c r="R502" s="1"/>
      <c r="S502" s="1"/>
      <c r="T502" s="1"/>
      <c r="U502" s="1"/>
      <c r="V502" s="1"/>
    </row>
    <row r="503" ht="12.0" customHeight="1">
      <c r="A503" s="336"/>
      <c r="B503" s="109"/>
      <c r="C503" s="109"/>
      <c r="D503" s="109"/>
      <c r="E503" s="142"/>
      <c r="F503" s="151"/>
      <c r="G503" s="142"/>
      <c r="H503" s="142"/>
      <c r="I503" s="142"/>
      <c r="J503" s="1"/>
      <c r="K503" s="1"/>
      <c r="L503" s="1"/>
      <c r="M503" s="1"/>
      <c r="N503" s="1"/>
      <c r="O503" s="1"/>
      <c r="P503" s="1"/>
      <c r="Q503" s="1"/>
      <c r="R503" s="1"/>
      <c r="S503" s="1"/>
      <c r="T503" s="1"/>
      <c r="U503" s="1"/>
      <c r="V503" s="1"/>
    </row>
    <row r="504" ht="12.0" customHeight="1">
      <c r="A504" s="336"/>
      <c r="B504" s="116" t="s">
        <v>228</v>
      </c>
      <c r="C504" s="154">
        <v>4.0</v>
      </c>
      <c r="D504" s="173">
        <f t="shared" ref="D504:D505" si="23">ROUNDUP((C504)/2,0)</f>
        <v>2</v>
      </c>
      <c r="E504" s="154" t="str">
        <f>DEC2HEX(((D504)*2^24),8)</f>
        <v>02000000</v>
      </c>
      <c r="F504" s="193" t="s">
        <v>635</v>
      </c>
      <c r="G504" s="156" t="s">
        <v>697</v>
      </c>
      <c r="H504" s="156" t="str">
        <f>"0x"&amp;DEC2HEX((HEX2DEC(C37)+264), 8)</f>
        <v>0x3D403108</v>
      </c>
      <c r="I504" s="157" t="str">
        <f>"0x"&amp;DEC2HEX((HEX2DEC(E504)+HEX2DEC(E505)+HEX2DEC(E506)+HEX2DEC(E507)), 8)</f>
        <v>0x0203060B</v>
      </c>
      <c r="J504" s="134"/>
      <c r="K504" s="1"/>
      <c r="L504" s="1"/>
      <c r="M504" s="1"/>
      <c r="N504" s="1"/>
      <c r="O504" s="1"/>
      <c r="P504" s="1"/>
      <c r="Q504" s="1"/>
      <c r="R504" s="1"/>
      <c r="S504" s="1"/>
      <c r="T504" s="1"/>
      <c r="U504" s="1"/>
      <c r="V504" s="1"/>
    </row>
    <row r="505" ht="12.0" customHeight="1">
      <c r="A505" s="336"/>
      <c r="B505" s="123" t="s">
        <v>231</v>
      </c>
      <c r="C505" s="130">
        <v>6.0</v>
      </c>
      <c r="D505" s="129">
        <f t="shared" si="23"/>
        <v>3</v>
      </c>
      <c r="E505" s="206" t="str">
        <f>DEC2HEX(((D505)*2^16),8)</f>
        <v>00030000</v>
      </c>
      <c r="F505" s="203" t="s">
        <v>635</v>
      </c>
      <c r="G505" s="60"/>
      <c r="H505" s="60"/>
      <c r="I505" s="164"/>
      <c r="J505" s="134"/>
      <c r="K505" s="1"/>
      <c r="L505" s="1"/>
      <c r="M505" s="1"/>
      <c r="N505" s="1"/>
      <c r="O505" s="1"/>
      <c r="P505" s="1"/>
      <c r="Q505" s="1"/>
      <c r="R505" s="1"/>
      <c r="S505" s="1"/>
      <c r="T505" s="1"/>
      <c r="U505" s="1"/>
      <c r="V505" s="1"/>
    </row>
    <row r="506" ht="12.0" customHeight="1">
      <c r="A506" s="336"/>
      <c r="B506" s="128" t="s">
        <v>233</v>
      </c>
      <c r="C506" s="133">
        <f>C129</f>
        <v>3.6</v>
      </c>
      <c r="D506" s="217">
        <f>ROUNDUP((C505+D48+ROUNDUP(C506/C34, 0) + (0.5+D209) - (IF(C33&lt;1333, 4, 6)) -ROUNDUP((1.5/C34),0) ) /2,0)</f>
        <v>6</v>
      </c>
      <c r="E506" s="130" t="str">
        <f>DEC2HEX(((D506)*2^8),8)</f>
        <v>00000600</v>
      </c>
      <c r="F506" s="203" t="s">
        <v>635</v>
      </c>
      <c r="G506" s="60"/>
      <c r="H506" s="60"/>
      <c r="I506" s="164"/>
      <c r="J506" s="218"/>
      <c r="K506" s="1"/>
      <c r="L506" s="1"/>
      <c r="M506" s="1"/>
      <c r="N506" s="1"/>
      <c r="O506" s="1"/>
      <c r="P506" s="1"/>
      <c r="Q506" s="1"/>
      <c r="R506" s="1"/>
      <c r="S506" s="1"/>
      <c r="T506" s="1"/>
      <c r="U506" s="1"/>
      <c r="V506" s="1"/>
    </row>
    <row r="507" ht="12.0" customHeight="1">
      <c r="A507" s="336"/>
      <c r="B507" s="135" t="s">
        <v>236</v>
      </c>
      <c r="C507" s="171">
        <f>MAX(10/C34, 8)</f>
        <v>8</v>
      </c>
      <c r="D507" s="171">
        <f>ROUNDUP((C504+D48+ C507  + 1)/2, 0)</f>
        <v>11</v>
      </c>
      <c r="E507" s="138" t="str">
        <f>DEC2HEX(((D507)*2^0),8)</f>
        <v>0000000B</v>
      </c>
      <c r="F507" s="195" t="s">
        <v>635</v>
      </c>
      <c r="G507" s="140"/>
      <c r="H507" s="140"/>
      <c r="I507" s="50"/>
      <c r="J507" s="218"/>
      <c r="K507" s="1"/>
      <c r="L507" s="1"/>
      <c r="M507" s="1"/>
      <c r="N507" s="1"/>
      <c r="O507" s="1"/>
      <c r="P507" s="1"/>
      <c r="Q507" s="1"/>
      <c r="R507" s="1"/>
      <c r="S507" s="1"/>
      <c r="T507" s="1"/>
      <c r="U507" s="1"/>
      <c r="V507" s="1"/>
    </row>
    <row r="508" ht="12.0" customHeight="1">
      <c r="A508" s="336"/>
      <c r="B508" s="109"/>
      <c r="C508" s="109"/>
      <c r="D508" s="109"/>
      <c r="E508" s="142"/>
      <c r="F508" s="151"/>
      <c r="G508" s="142"/>
      <c r="H508" s="142"/>
      <c r="I508" s="142"/>
      <c r="J508" s="1"/>
      <c r="K508" s="1"/>
      <c r="L508" s="1"/>
      <c r="M508" s="1"/>
      <c r="N508" s="1"/>
      <c r="O508" s="1"/>
      <c r="P508" s="1"/>
      <c r="Q508" s="1"/>
      <c r="R508" s="1"/>
      <c r="S508" s="1"/>
      <c r="T508" s="1"/>
      <c r="U508" s="1"/>
      <c r="V508" s="1"/>
    </row>
    <row r="509" ht="12.0" customHeight="1">
      <c r="A509" s="336"/>
      <c r="B509" s="116" t="s">
        <v>238</v>
      </c>
      <c r="C509" s="168">
        <f>MAX(14/C34, 10)</f>
        <v>10</v>
      </c>
      <c r="D509" s="168">
        <f t="shared" ref="D509:D510" si="24">ROUNDUP((C509)/2,0)</f>
        <v>5</v>
      </c>
      <c r="E509" s="154" t="str">
        <f>DEC2HEX(((D509)*2^20),8)</f>
        <v>00500000</v>
      </c>
      <c r="F509" s="193" t="s">
        <v>635</v>
      </c>
      <c r="G509" s="156" t="s">
        <v>698</v>
      </c>
      <c r="H509" s="156" t="str">
        <f>"0x"&amp;DEC2HEX((HEX2DEC(C37)+268), 8)</f>
        <v>0x3D40310C</v>
      </c>
      <c r="I509" s="157" t="str">
        <f>"0x"&amp;DEC2HEX((HEX2DEC(E509)+HEX2DEC(E510)+HEX2DEC(E511)), 8)</f>
        <v>0x00505000</v>
      </c>
      <c r="J509" s="1"/>
      <c r="K509" s="1"/>
      <c r="L509" s="1"/>
      <c r="M509" s="1"/>
      <c r="N509" s="1"/>
      <c r="O509" s="1"/>
      <c r="P509" s="1"/>
      <c r="Q509" s="1"/>
      <c r="R509" s="1"/>
      <c r="S509" s="1"/>
      <c r="T509" s="1"/>
      <c r="U509" s="1"/>
      <c r="V509" s="1"/>
    </row>
    <row r="510" ht="12.0" customHeight="1">
      <c r="A510" s="336"/>
      <c r="B510" s="128" t="s">
        <v>241</v>
      </c>
      <c r="C510" s="133">
        <f>MAX(14/C34, 10)</f>
        <v>10</v>
      </c>
      <c r="D510" s="328">
        <f t="shared" si="24"/>
        <v>5</v>
      </c>
      <c r="E510" s="130" t="str">
        <f>DEC2HEX(((D510)*2^12),8)</f>
        <v>00005000</v>
      </c>
      <c r="F510" s="203" t="s">
        <v>635</v>
      </c>
      <c r="G510" s="60"/>
      <c r="H510" s="60"/>
      <c r="I510" s="164"/>
      <c r="J510" s="1"/>
      <c r="K510" s="1"/>
      <c r="L510" s="1"/>
      <c r="M510" s="1"/>
      <c r="N510" s="1"/>
      <c r="O510" s="1"/>
      <c r="P510" s="1"/>
      <c r="Q510" s="1"/>
      <c r="R510" s="1"/>
      <c r="S510" s="1"/>
      <c r="T510" s="1"/>
      <c r="U510" s="1"/>
      <c r="V510" s="1"/>
    </row>
    <row r="511" ht="12.0" customHeight="1">
      <c r="A511" s="336"/>
      <c r="B511" s="135" t="s">
        <v>243</v>
      </c>
      <c r="C511" s="136">
        <v>0.0</v>
      </c>
      <c r="D511" s="137">
        <f>(C511/2)</f>
        <v>0</v>
      </c>
      <c r="E511" s="138" t="str">
        <f>DEC2HEX(((D511)*2^0),8)</f>
        <v>00000000</v>
      </c>
      <c r="F511" s="195" t="s">
        <v>635</v>
      </c>
      <c r="G511" s="140"/>
      <c r="H511" s="140"/>
      <c r="I511" s="50"/>
      <c r="J511" s="194"/>
      <c r="K511" s="1"/>
      <c r="L511" s="1"/>
      <c r="M511" s="1"/>
      <c r="N511" s="1"/>
      <c r="O511" s="1"/>
      <c r="P511" s="1"/>
      <c r="Q511" s="1"/>
      <c r="R511" s="1"/>
      <c r="S511" s="1"/>
      <c r="T511" s="1"/>
      <c r="U511" s="1"/>
      <c r="V511" s="1"/>
    </row>
    <row r="512" ht="12.0" customHeight="1">
      <c r="A512" s="336"/>
      <c r="B512" s="109"/>
      <c r="C512" s="109"/>
      <c r="D512" s="109"/>
      <c r="E512" s="142"/>
      <c r="F512" s="151"/>
      <c r="G512" s="142"/>
      <c r="H512" s="142"/>
      <c r="I512" s="142"/>
      <c r="J512" s="1"/>
      <c r="K512" s="1"/>
      <c r="L512" s="1"/>
      <c r="M512" s="1"/>
      <c r="N512" s="1"/>
      <c r="O512" s="1"/>
      <c r="P512" s="1"/>
      <c r="Q512" s="1"/>
      <c r="R512" s="1"/>
      <c r="S512" s="1"/>
      <c r="T512" s="1"/>
      <c r="U512" s="1"/>
      <c r="V512" s="1"/>
    </row>
    <row r="513" ht="12.0" customHeight="1">
      <c r="A513" s="336"/>
      <c r="B513" s="116" t="s">
        <v>245</v>
      </c>
      <c r="C513" s="168">
        <f>IF((G40 = "Option 2"), MAX((18+1.875)/C34, 4), MAX(18/C34, 4))</f>
        <v>4</v>
      </c>
      <c r="D513" s="173">
        <f>ROUNDUP(((C513)/2),0)</f>
        <v>2</v>
      </c>
      <c r="E513" s="154" t="str">
        <f>DEC2HEX(((D513)*2^24),8)</f>
        <v>02000000</v>
      </c>
      <c r="F513" s="193" t="s">
        <v>635</v>
      </c>
      <c r="G513" s="156" t="s">
        <v>699</v>
      </c>
      <c r="H513" s="156" t="str">
        <f>"0x"&amp;DEC2HEX((HEX2DEC(C37)+272), 8)</f>
        <v>0x3D403110</v>
      </c>
      <c r="I513" s="157" t="str">
        <f>"0x"&amp;DEC2HEX((HEX2DEC(E513)+HEX2DEC(E514)+HEX2DEC(E515)+HEX2DEC(E516)), 8)</f>
        <v>0x02040202</v>
      </c>
      <c r="J513" s="1"/>
      <c r="K513" s="1"/>
      <c r="L513" s="1"/>
      <c r="M513" s="1"/>
      <c r="N513" s="1"/>
      <c r="O513" s="1"/>
      <c r="P513" s="1"/>
      <c r="Q513" s="1"/>
      <c r="R513" s="1"/>
      <c r="S513" s="1"/>
      <c r="T513" s="1"/>
      <c r="U513" s="1"/>
      <c r="V513" s="1"/>
    </row>
    <row r="514" ht="12.0" customHeight="1">
      <c r="A514" s="336"/>
      <c r="B514" s="128" t="s">
        <v>248</v>
      </c>
      <c r="C514" s="132">
        <v>8.0</v>
      </c>
      <c r="D514" s="129">
        <f>ROUNDUP(C514/2, 0)</f>
        <v>4</v>
      </c>
      <c r="E514" s="130" t="str">
        <f>DEC2HEX(((D514)*2^16),8)</f>
        <v>00040000</v>
      </c>
      <c r="F514" s="203" t="s">
        <v>635</v>
      </c>
      <c r="G514" s="60"/>
      <c r="H514" s="60"/>
      <c r="I514" s="164"/>
      <c r="J514" s="1"/>
      <c r="K514" s="1"/>
      <c r="L514" s="1"/>
      <c r="M514" s="1"/>
      <c r="N514" s="1"/>
      <c r="O514" s="1"/>
      <c r="P514" s="1"/>
      <c r="Q514" s="1"/>
      <c r="R514" s="1"/>
      <c r="S514" s="1"/>
      <c r="T514" s="1"/>
      <c r="U514" s="1"/>
      <c r="V514" s="1"/>
    </row>
    <row r="515" ht="12.0" customHeight="1">
      <c r="A515" s="336"/>
      <c r="B515" s="162" t="s">
        <v>250</v>
      </c>
      <c r="C515" s="133">
        <f>IF(G40 = "Option 2", MAX((10+1.875)/C34, 4), MAX(10/C34, 4))</f>
        <v>4</v>
      </c>
      <c r="D515" s="177">
        <f>ROUNDUP(((C515)/2),0)</f>
        <v>2</v>
      </c>
      <c r="E515" s="130" t="str">
        <f>DEC2HEX(((D515)*2^8),8)</f>
        <v>00000200</v>
      </c>
      <c r="F515" s="203" t="s">
        <v>635</v>
      </c>
      <c r="G515" s="60"/>
      <c r="H515" s="60"/>
      <c r="I515" s="164"/>
      <c r="J515" s="1"/>
      <c r="K515" s="1"/>
      <c r="L515" s="1"/>
      <c r="M515" s="1"/>
      <c r="N515" s="1"/>
      <c r="O515" s="1"/>
      <c r="P515" s="1"/>
      <c r="Q515" s="1"/>
      <c r="R515" s="1"/>
      <c r="S515" s="1"/>
      <c r="T515" s="1"/>
      <c r="U515" s="1"/>
      <c r="V515" s="1"/>
    </row>
    <row r="516" ht="12.0" customHeight="1">
      <c r="A516" s="336"/>
      <c r="B516" s="135" t="s">
        <v>252</v>
      </c>
      <c r="C516" s="171">
        <f>IF((G40 = "Option 2"), MAX((18+1.875)/C34, 4), MAX(18/C34, 4))</f>
        <v>4</v>
      </c>
      <c r="D516" s="137">
        <f>ROUNDUP((C516)/2,0)</f>
        <v>2</v>
      </c>
      <c r="E516" s="138" t="str">
        <f>DEC2HEX(((D516)*2^0),8)</f>
        <v>00000002</v>
      </c>
      <c r="F516" s="195" t="s">
        <v>635</v>
      </c>
      <c r="G516" s="140"/>
      <c r="H516" s="140"/>
      <c r="I516" s="50"/>
      <c r="J516" s="218"/>
      <c r="K516" s="1"/>
      <c r="L516" s="1"/>
      <c r="M516" s="1"/>
      <c r="N516" s="1"/>
      <c r="O516" s="1"/>
      <c r="P516" s="1"/>
      <c r="Q516" s="1"/>
      <c r="R516" s="1"/>
      <c r="S516" s="1"/>
      <c r="T516" s="1"/>
      <c r="U516" s="1"/>
      <c r="V516" s="1"/>
    </row>
    <row r="517" ht="13.5" customHeight="1">
      <c r="A517" s="336"/>
      <c r="B517" s="159"/>
      <c r="C517" s="159"/>
      <c r="D517" s="159"/>
      <c r="E517" s="160"/>
      <c r="F517" s="151"/>
      <c r="G517" s="142"/>
      <c r="H517" s="142"/>
      <c r="I517" s="142"/>
      <c r="J517" s="1"/>
      <c r="K517" s="1"/>
      <c r="L517" s="1"/>
      <c r="M517" s="1"/>
      <c r="N517" s="1"/>
      <c r="O517" s="1"/>
      <c r="P517" s="1"/>
      <c r="Q517" s="1"/>
      <c r="R517" s="1"/>
      <c r="S517" s="1"/>
      <c r="T517" s="1"/>
      <c r="U517" s="1"/>
      <c r="V517" s="1"/>
    </row>
    <row r="518" ht="12.0" customHeight="1">
      <c r="A518" s="336"/>
      <c r="B518" s="116" t="s">
        <v>254</v>
      </c>
      <c r="C518" s="168">
        <f>MAX(1.75/C34, 3)</f>
        <v>3</v>
      </c>
      <c r="D518" s="173">
        <f t="shared" ref="D518:D521" si="25">ROUNDUP(((C518)/2),0)</f>
        <v>2</v>
      </c>
      <c r="E518" s="154" t="str">
        <f>DEC2HEX(((D518)*2^24),8)</f>
        <v>02000000</v>
      </c>
      <c r="F518" s="193" t="s">
        <v>635</v>
      </c>
      <c r="G518" s="156" t="s">
        <v>700</v>
      </c>
      <c r="H518" s="156" t="str">
        <f>"0x"&amp;DEC2HEX((HEX2DEC(C37)+276), 8)</f>
        <v>0x3D403114</v>
      </c>
      <c r="I518" s="157" t="str">
        <f>"0x"&amp;DEC2HEX((HEX2DEC(E518)+HEX2DEC(E519)+HEX2DEC(E520)+HEX2DEC(E521)), 8)</f>
        <v>0x02030202</v>
      </c>
      <c r="J518" s="220"/>
      <c r="K518" s="1"/>
      <c r="L518" s="1"/>
      <c r="M518" s="1"/>
      <c r="N518" s="1"/>
      <c r="O518" s="1"/>
      <c r="P518" s="1"/>
      <c r="Q518" s="1"/>
      <c r="R518" s="1"/>
      <c r="S518" s="1"/>
      <c r="T518" s="1"/>
      <c r="U518" s="1"/>
      <c r="V518" s="1"/>
    </row>
    <row r="519" ht="12.0" customHeight="1">
      <c r="A519" s="336"/>
      <c r="B519" s="128" t="s">
        <v>257</v>
      </c>
      <c r="C519" s="133">
        <f>MAX(5/C34, 5)</f>
        <v>5</v>
      </c>
      <c r="D519" s="129">
        <f t="shared" si="25"/>
        <v>3</v>
      </c>
      <c r="E519" s="130" t="str">
        <f>DEC2HEX(((D519)*2^16),8)</f>
        <v>00030000</v>
      </c>
      <c r="F519" s="203" t="s">
        <v>635</v>
      </c>
      <c r="G519" s="60"/>
      <c r="H519" s="60"/>
      <c r="I519" s="164"/>
      <c r="J519" s="220"/>
      <c r="K519" s="1"/>
      <c r="L519" s="1"/>
      <c r="M519" s="1"/>
      <c r="N519" s="1"/>
      <c r="O519" s="1"/>
      <c r="P519" s="1"/>
      <c r="Q519" s="1"/>
      <c r="R519" s="1"/>
      <c r="S519" s="1"/>
      <c r="T519" s="1"/>
      <c r="U519" s="1"/>
      <c r="V519" s="1"/>
    </row>
    <row r="520" ht="12.0" customHeight="1">
      <c r="A520" s="336"/>
      <c r="B520" s="162" t="s">
        <v>259</v>
      </c>
      <c r="C520" s="133">
        <f>MAX(15/C34, 4)</f>
        <v>4</v>
      </c>
      <c r="D520" s="221">
        <f t="shared" si="25"/>
        <v>2</v>
      </c>
      <c r="E520" s="181" t="str">
        <f>DEC2HEX(((D520)*2^8),8)</f>
        <v>00000200</v>
      </c>
      <c r="F520" s="203" t="s">
        <v>635</v>
      </c>
      <c r="G520" s="60"/>
      <c r="H520" s="60"/>
      <c r="I520" s="164"/>
      <c r="J520" s="1"/>
      <c r="K520" s="1"/>
      <c r="L520" s="1"/>
      <c r="M520" s="1"/>
      <c r="N520" s="1"/>
      <c r="O520" s="1"/>
      <c r="P520" s="1"/>
      <c r="Q520" s="1"/>
      <c r="R520" s="1"/>
      <c r="S520" s="1"/>
      <c r="T520" s="1"/>
      <c r="U520" s="1"/>
      <c r="V520" s="1"/>
    </row>
    <row r="521" ht="12.0" customHeight="1">
      <c r="A521" s="336"/>
      <c r="B521" s="135" t="s">
        <v>261</v>
      </c>
      <c r="C521" s="171">
        <f>MAX(15/C34, 4)</f>
        <v>4</v>
      </c>
      <c r="D521" s="183">
        <f t="shared" si="25"/>
        <v>2</v>
      </c>
      <c r="E521" s="138" t="str">
        <f>DEC2HEX(((D521)*2^0),8)</f>
        <v>00000002</v>
      </c>
      <c r="F521" s="195" t="s">
        <v>635</v>
      </c>
      <c r="G521" s="140"/>
      <c r="H521" s="140"/>
      <c r="I521" s="50"/>
      <c r="J521" s="1"/>
      <c r="K521" s="1"/>
      <c r="L521" s="1"/>
      <c r="M521" s="1"/>
      <c r="N521" s="1"/>
      <c r="O521" s="1"/>
      <c r="P521" s="1"/>
      <c r="Q521" s="1"/>
      <c r="R521" s="1"/>
      <c r="S521" s="1"/>
      <c r="T521" s="1"/>
      <c r="U521" s="1"/>
      <c r="V521" s="1"/>
    </row>
    <row r="522" ht="12.0" customHeight="1">
      <c r="A522" s="336"/>
      <c r="B522" s="109"/>
      <c r="C522" s="109"/>
      <c r="D522" s="109"/>
      <c r="E522" s="142"/>
      <c r="F522" s="151"/>
      <c r="G522" s="142"/>
      <c r="H522" s="142"/>
      <c r="I522" s="142"/>
      <c r="J522" s="1"/>
      <c r="K522" s="1"/>
      <c r="L522" s="1"/>
      <c r="M522" s="1"/>
      <c r="N522" s="1"/>
      <c r="O522" s="1"/>
      <c r="P522" s="1"/>
      <c r="Q522" s="1"/>
      <c r="R522" s="1"/>
      <c r="S522" s="1"/>
      <c r="T522" s="1"/>
      <c r="U522" s="1"/>
      <c r="V522" s="1"/>
    </row>
    <row r="523" ht="12.0" customHeight="1">
      <c r="A523" s="336"/>
      <c r="B523" s="116" t="s">
        <v>264</v>
      </c>
      <c r="C523" s="154">
        <v>2.0</v>
      </c>
      <c r="D523" s="119">
        <f t="shared" ref="D523:D524" si="26">(C523/2)</f>
        <v>1</v>
      </c>
      <c r="E523" s="154" t="str">
        <f>DEC2HEX(((D523)*2^24),8)</f>
        <v>01000000</v>
      </c>
      <c r="F523" s="193" t="s">
        <v>635</v>
      </c>
      <c r="G523" s="156" t="s">
        <v>701</v>
      </c>
      <c r="H523" s="156" t="str">
        <f>"0x"&amp;DEC2HEX((HEX2DEC(C37)+280), 8)</f>
        <v>0x3D403118</v>
      </c>
      <c r="I523" s="157" t="str">
        <f>"0x"&amp;DEC2HEX((HEX2DEC(E523)+HEX2DEC(E524)+HEX2DEC(E525)), 8)</f>
        <v>0x01010004</v>
      </c>
      <c r="J523" s="1"/>
      <c r="K523" s="1"/>
      <c r="L523" s="1"/>
      <c r="M523" s="1"/>
      <c r="N523" s="1"/>
      <c r="O523" s="1"/>
      <c r="P523" s="1"/>
      <c r="Q523" s="1"/>
      <c r="R523" s="1"/>
      <c r="S523" s="1"/>
      <c r="T523" s="1"/>
      <c r="U523" s="1"/>
      <c r="V523" s="1"/>
    </row>
    <row r="524" ht="12.0" customHeight="1">
      <c r="A524" s="336"/>
      <c r="B524" s="222" t="s">
        <v>267</v>
      </c>
      <c r="C524" s="130">
        <v>2.0</v>
      </c>
      <c r="D524" s="132">
        <f t="shared" si="26"/>
        <v>1</v>
      </c>
      <c r="E524" s="223" t="str">
        <f>DEC2HEX(((D524)*2^16),8)</f>
        <v>00010000</v>
      </c>
      <c r="F524" s="203" t="s">
        <v>635</v>
      </c>
      <c r="G524" s="60"/>
      <c r="H524" s="60"/>
      <c r="I524" s="164"/>
      <c r="J524" s="1"/>
      <c r="K524" s="1"/>
      <c r="L524" s="1"/>
      <c r="M524" s="1"/>
      <c r="N524" s="1"/>
      <c r="O524" s="1"/>
      <c r="P524" s="1"/>
      <c r="Q524" s="1"/>
      <c r="R524" s="1"/>
      <c r="S524" s="1"/>
      <c r="T524" s="1"/>
      <c r="U524" s="1"/>
      <c r="V524" s="1"/>
    </row>
    <row r="525" ht="12.0" customHeight="1">
      <c r="A525" s="336"/>
      <c r="B525" s="135" t="s">
        <v>269</v>
      </c>
      <c r="C525" s="225" t="s">
        <v>91</v>
      </c>
      <c r="D525" s="137">
        <f>ROUNDUP(((C500)+2)/2,0)</f>
        <v>4</v>
      </c>
      <c r="E525" s="138" t="str">
        <f>DEC2HEX(((D525)*2^0),8)</f>
        <v>00000004</v>
      </c>
      <c r="F525" s="195" t="s">
        <v>635</v>
      </c>
      <c r="G525" s="140"/>
      <c r="H525" s="140"/>
      <c r="I525" s="50"/>
      <c r="J525" s="1"/>
      <c r="K525" s="1"/>
      <c r="L525" s="1"/>
      <c r="M525" s="1"/>
      <c r="N525" s="1"/>
      <c r="O525" s="1"/>
      <c r="P525" s="1"/>
      <c r="Q525" s="1"/>
      <c r="R525" s="1"/>
      <c r="S525" s="1"/>
      <c r="T525" s="1"/>
      <c r="U525" s="1"/>
      <c r="V525" s="1"/>
    </row>
    <row r="526" ht="12.0" customHeight="1">
      <c r="A526" s="336"/>
      <c r="B526" s="109"/>
      <c r="C526" s="109"/>
      <c r="D526" s="109"/>
      <c r="E526" s="142"/>
      <c r="F526" s="151"/>
      <c r="G526" s="142"/>
      <c r="H526" s="142"/>
      <c r="I526" s="142"/>
      <c r="J526" s="1"/>
      <c r="K526" s="1"/>
      <c r="L526" s="1"/>
      <c r="M526" s="1"/>
      <c r="N526" s="1"/>
      <c r="O526" s="1"/>
      <c r="P526" s="1"/>
      <c r="Q526" s="1"/>
      <c r="R526" s="1"/>
      <c r="S526" s="1"/>
      <c r="T526" s="1"/>
      <c r="U526" s="1"/>
      <c r="V526" s="1"/>
    </row>
    <row r="527" ht="12.0" customHeight="1">
      <c r="A527" s="336"/>
      <c r="B527" s="116" t="s">
        <v>272</v>
      </c>
      <c r="C527" s="216">
        <f>MAX(5/C34, 5)</f>
        <v>5</v>
      </c>
      <c r="D527" s="168">
        <f>ROUNDUP((C527)/2,0)</f>
        <v>3</v>
      </c>
      <c r="E527" s="154" t="str">
        <f>DEC2HEX(((D527)*2^8),8)</f>
        <v>00000300</v>
      </c>
      <c r="F527" s="193" t="s">
        <v>635</v>
      </c>
      <c r="G527" s="156" t="s">
        <v>702</v>
      </c>
      <c r="H527" s="156" t="str">
        <f>"0x"&amp;DEC2HEX((HEX2DEC(C37)+284), 8)</f>
        <v>0x3D40311C</v>
      </c>
      <c r="I527" s="157" t="str">
        <f>"0x"&amp;DEC2HEX((HEX2DEC(E527)+HEX2DEC(E528)), 8)</f>
        <v>0x00000301</v>
      </c>
      <c r="J527" s="220"/>
      <c r="K527" s="1"/>
      <c r="L527" s="1"/>
      <c r="M527" s="1"/>
      <c r="N527" s="1"/>
      <c r="O527" s="1"/>
      <c r="P527" s="1"/>
      <c r="Q527" s="1"/>
      <c r="R527" s="1"/>
      <c r="S527" s="1"/>
      <c r="T527" s="1"/>
      <c r="U527" s="1"/>
      <c r="V527" s="1"/>
    </row>
    <row r="528" ht="12.0" customHeight="1">
      <c r="A528" s="336"/>
      <c r="B528" s="135" t="s">
        <v>275</v>
      </c>
      <c r="C528" s="138">
        <v>2.0</v>
      </c>
      <c r="D528" s="171">
        <f>ROUNDUP(C528/2, 0)</f>
        <v>1</v>
      </c>
      <c r="E528" s="138" t="str">
        <f>DEC2HEX(((D528)*2^0),8)</f>
        <v>00000001</v>
      </c>
      <c r="F528" s="195" t="s">
        <v>635</v>
      </c>
      <c r="G528" s="140"/>
      <c r="H528" s="140"/>
      <c r="I528" s="50"/>
      <c r="J528" s="1"/>
      <c r="K528" s="1"/>
      <c r="L528" s="1"/>
      <c r="M528" s="1"/>
      <c r="N528" s="1"/>
      <c r="O528" s="1"/>
      <c r="P528" s="1"/>
      <c r="Q528" s="1"/>
      <c r="R528" s="1"/>
      <c r="S528" s="1"/>
      <c r="T528" s="1"/>
      <c r="U528" s="1"/>
      <c r="V528" s="1"/>
    </row>
    <row r="529" ht="12.0" customHeight="1">
      <c r="A529" s="336"/>
      <c r="B529" s="109"/>
      <c r="C529" s="142"/>
      <c r="D529" s="141"/>
      <c r="E529" s="142"/>
      <c r="F529" s="110"/>
      <c r="G529" s="142"/>
      <c r="H529" s="142"/>
      <c r="I529" s="142"/>
      <c r="J529" s="1"/>
      <c r="K529" s="1"/>
      <c r="L529" s="1"/>
      <c r="M529" s="1"/>
      <c r="N529" s="1"/>
      <c r="O529" s="1"/>
      <c r="P529" s="1"/>
      <c r="Q529" s="1"/>
      <c r="R529" s="1"/>
      <c r="S529" s="1"/>
      <c r="T529" s="1"/>
      <c r="U529" s="1"/>
      <c r="V529" s="1"/>
    </row>
    <row r="530" ht="12.0" customHeight="1">
      <c r="A530" s="336"/>
      <c r="B530" s="116" t="s">
        <v>277</v>
      </c>
      <c r="C530" s="168">
        <f>MAX(1.75/C34, 3)</f>
        <v>3</v>
      </c>
      <c r="D530" s="168">
        <f t="shared" ref="D530:D531" si="27">ROUNDUP(((C530)/2),0)</f>
        <v>2</v>
      </c>
      <c r="E530" s="154" t="str">
        <f>DEC2HEX(((D530)*2^16),8)</f>
        <v>00020000</v>
      </c>
      <c r="F530" s="193" t="s">
        <v>635</v>
      </c>
      <c r="G530" s="156" t="s">
        <v>703</v>
      </c>
      <c r="H530" s="156" t="str">
        <f>"0x"&amp;DEC2HEX((HEX2DEC(C37)+304), 8)</f>
        <v>0x3D403130</v>
      </c>
      <c r="I530" s="157" t="str">
        <f>"0x"&amp;DEC2HEX((HEX2DEC(E530)+HEX2DEC(E531)+HEX2DEC(E532)), 8)</f>
        <v>0x00020300</v>
      </c>
      <c r="J530" s="226"/>
      <c r="K530" s="1"/>
      <c r="L530" s="1"/>
      <c r="M530" s="1"/>
      <c r="N530" s="1"/>
      <c r="O530" s="1"/>
      <c r="P530" s="1"/>
      <c r="Q530" s="1"/>
      <c r="R530" s="1"/>
      <c r="S530" s="1"/>
      <c r="T530" s="1"/>
      <c r="U530" s="1"/>
      <c r="V530" s="1"/>
    </row>
    <row r="531" ht="12.0" customHeight="1">
      <c r="A531" s="336"/>
      <c r="B531" s="128" t="s">
        <v>280</v>
      </c>
      <c r="C531" s="133">
        <f>MAX(7.5/C34, 5)</f>
        <v>5</v>
      </c>
      <c r="D531" s="133">
        <f t="shared" si="27"/>
        <v>3</v>
      </c>
      <c r="E531" s="130" t="str">
        <f>DEC2HEX(((D531)*2^8),8)</f>
        <v>00000300</v>
      </c>
      <c r="F531" s="203" t="s">
        <v>635</v>
      </c>
      <c r="G531" s="60"/>
      <c r="H531" s="60"/>
      <c r="I531" s="164"/>
      <c r="J531" s="1"/>
      <c r="K531" s="1"/>
      <c r="L531" s="1"/>
      <c r="M531" s="1"/>
      <c r="N531" s="1"/>
      <c r="O531" s="1"/>
      <c r="P531" s="1"/>
      <c r="Q531" s="1"/>
      <c r="R531" s="1"/>
      <c r="S531" s="1"/>
      <c r="T531" s="1"/>
      <c r="U531" s="1"/>
      <c r="V531" s="1"/>
    </row>
    <row r="532" ht="12.0" customHeight="1">
      <c r="A532" s="336"/>
      <c r="B532" s="135" t="s">
        <v>282</v>
      </c>
      <c r="C532" s="227" t="s">
        <v>91</v>
      </c>
      <c r="D532" s="228">
        <v>0.0</v>
      </c>
      <c r="E532" s="138" t="str">
        <f>DEC2HEX(((D532)*2^0),8)</f>
        <v>00000000</v>
      </c>
      <c r="F532" s="195" t="s">
        <v>635</v>
      </c>
      <c r="G532" s="140"/>
      <c r="H532" s="140"/>
      <c r="I532" s="50"/>
      <c r="J532" s="1"/>
      <c r="K532" s="1"/>
      <c r="L532" s="1"/>
      <c r="M532" s="1"/>
      <c r="N532" s="1"/>
      <c r="O532" s="1"/>
      <c r="P532" s="1"/>
      <c r="Q532" s="1"/>
      <c r="R532" s="1"/>
      <c r="S532" s="1"/>
      <c r="T532" s="1"/>
      <c r="U532" s="1"/>
      <c r="V532" s="1"/>
    </row>
    <row r="533" ht="12.0" customHeight="1">
      <c r="A533" s="336"/>
      <c r="B533" s="109"/>
      <c r="C533" s="229"/>
      <c r="D533" s="229"/>
      <c r="E533" s="142"/>
      <c r="F533" s="143"/>
      <c r="G533" s="142"/>
      <c r="H533" s="142"/>
      <c r="I533" s="142"/>
      <c r="J533" s="1"/>
      <c r="K533" s="1"/>
      <c r="L533" s="1"/>
      <c r="M533" s="1"/>
      <c r="N533" s="1"/>
      <c r="O533" s="1"/>
      <c r="P533" s="1"/>
      <c r="Q533" s="1"/>
      <c r="R533" s="1"/>
      <c r="S533" s="1"/>
      <c r="T533" s="1"/>
      <c r="U533" s="1"/>
      <c r="V533" s="1"/>
    </row>
    <row r="534" ht="12.0" customHeight="1">
      <c r="A534" s="336"/>
      <c r="B534" s="116" t="s">
        <v>284</v>
      </c>
      <c r="C534" s="168">
        <f>IF(C33&lt;1066,20,IF(C33&lt;1333,22,24))</f>
        <v>20</v>
      </c>
      <c r="D534" s="168">
        <f t="shared" ref="D534:D536" si="28">ROUNDUP(((C534)/2),0)</f>
        <v>10</v>
      </c>
      <c r="E534" s="154" t="str">
        <f>DEC2HEX(((D534)*2^24),8)</f>
        <v>0A000000</v>
      </c>
      <c r="F534" s="193" t="s">
        <v>635</v>
      </c>
      <c r="G534" s="156" t="s">
        <v>704</v>
      </c>
      <c r="H534" s="156" t="str">
        <f>"0x"&amp;DEC2HEX((HEX2DEC(C37)+308), 8)</f>
        <v>0x3D403134</v>
      </c>
      <c r="I534" s="157" t="str">
        <f>"0x"&amp;DEC2HEX((HEX2DEC(E534)+HEX2DEC(E535)+HEX2DEC(E536)), 8)</f>
        <v>0x0A100002</v>
      </c>
      <c r="J534" s="1"/>
      <c r="K534" s="1"/>
      <c r="L534" s="1"/>
      <c r="M534" s="1"/>
      <c r="N534" s="1"/>
      <c r="O534" s="1"/>
      <c r="P534" s="1"/>
      <c r="Q534" s="1"/>
      <c r="R534" s="1"/>
      <c r="S534" s="1"/>
      <c r="T534" s="1"/>
      <c r="U534" s="1"/>
      <c r="V534" s="1"/>
    </row>
    <row r="535" ht="12.0" customHeight="1">
      <c r="A535" s="336"/>
      <c r="B535" s="128" t="s">
        <v>287</v>
      </c>
      <c r="C535" s="230">
        <v>32.0</v>
      </c>
      <c r="D535" s="133">
        <f t="shared" si="28"/>
        <v>16</v>
      </c>
      <c r="E535" s="130" t="str">
        <f>DEC2HEX(((D535)*2^16),8)</f>
        <v>00100000</v>
      </c>
      <c r="F535" s="203" t="s">
        <v>635</v>
      </c>
      <c r="G535" s="60"/>
      <c r="H535" s="60"/>
      <c r="I535" s="164"/>
      <c r="J535" s="1"/>
      <c r="K535" s="1"/>
      <c r="L535" s="1"/>
      <c r="M535" s="1"/>
      <c r="N535" s="1"/>
      <c r="O535" s="1"/>
      <c r="P535" s="1"/>
      <c r="Q535" s="1"/>
      <c r="R535" s="1"/>
      <c r="S535" s="1"/>
      <c r="T535" s="1"/>
      <c r="U535" s="1"/>
      <c r="V535" s="1"/>
    </row>
    <row r="536" ht="12.0" customHeight="1">
      <c r="A536" s="336"/>
      <c r="B536" s="135" t="s">
        <v>289</v>
      </c>
      <c r="C536" s="231">
        <v>4.0</v>
      </c>
      <c r="D536" s="171">
        <f t="shared" si="28"/>
        <v>2</v>
      </c>
      <c r="E536" s="138" t="str">
        <f>DEC2HEX(((D536)*2^0),8)</f>
        <v>00000002</v>
      </c>
      <c r="F536" s="195" t="s">
        <v>635</v>
      </c>
      <c r="G536" s="140"/>
      <c r="H536" s="140"/>
      <c r="I536" s="50"/>
      <c r="J536" s="1"/>
      <c r="K536" s="1"/>
      <c r="L536" s="1"/>
      <c r="M536" s="1"/>
      <c r="N536" s="1"/>
      <c r="O536" s="1"/>
      <c r="P536" s="1"/>
      <c r="Q536" s="1"/>
      <c r="R536" s="1"/>
      <c r="S536" s="1"/>
      <c r="T536" s="1"/>
      <c r="U536" s="1"/>
      <c r="V536" s="1"/>
    </row>
    <row r="537" ht="12.0" customHeight="1">
      <c r="A537" s="336"/>
      <c r="B537" s="109"/>
      <c r="C537" s="142"/>
      <c r="D537" s="338"/>
      <c r="E537" s="142"/>
      <c r="F537" s="110"/>
      <c r="G537" s="142"/>
      <c r="H537" s="142"/>
      <c r="I537" s="142"/>
      <c r="J537" s="1"/>
      <c r="K537" s="1"/>
      <c r="L537" s="1"/>
      <c r="M537" s="1"/>
      <c r="N537" s="1"/>
      <c r="O537" s="1"/>
      <c r="P537" s="1"/>
      <c r="Q537" s="1"/>
      <c r="R537" s="1"/>
      <c r="S537" s="1"/>
      <c r="T537" s="1"/>
      <c r="U537" s="1"/>
      <c r="V537" s="1"/>
    </row>
    <row r="538" ht="12.0" customHeight="1">
      <c r="A538" s="336"/>
      <c r="B538" s="144" t="s">
        <v>291</v>
      </c>
      <c r="C538" s="232">
        <f>MAX((C100+7.5)/C34, 2)</f>
        <v>19.375</v>
      </c>
      <c r="D538" s="233">
        <f>ROUNDUP((C538)/2,0)</f>
        <v>10</v>
      </c>
      <c r="E538" s="147" t="str">
        <f>DEC2HEX(((D538)*2^0),8)</f>
        <v>0000000A</v>
      </c>
      <c r="F538" s="329" t="s">
        <v>635</v>
      </c>
      <c r="G538" s="147" t="s">
        <v>705</v>
      </c>
      <c r="H538" s="147" t="str">
        <f>"0x"&amp;DEC2HEX((HEX2DEC(C37)+312), 8)</f>
        <v>0x3D403138</v>
      </c>
      <c r="I538" s="234" t="str">
        <f>"0x"&amp;DEC2HEX((HEX2DEC(E538)), 8)</f>
        <v>0x0000000A</v>
      </c>
      <c r="J538" s="220"/>
      <c r="K538" s="1"/>
      <c r="L538" s="1"/>
      <c r="M538" s="1"/>
      <c r="N538" s="1"/>
      <c r="O538" s="1"/>
      <c r="P538" s="1"/>
      <c r="Q538" s="1"/>
      <c r="R538" s="1"/>
      <c r="S538" s="1"/>
      <c r="T538" s="1"/>
      <c r="U538" s="1"/>
      <c r="V538" s="1"/>
    </row>
    <row r="539" ht="12.0" customHeight="1">
      <c r="A539" s="336"/>
      <c r="B539" s="109"/>
      <c r="C539" s="235"/>
      <c r="D539" s="141"/>
      <c r="E539" s="142"/>
      <c r="F539" s="143"/>
      <c r="G539" s="142"/>
      <c r="H539" s="142"/>
      <c r="I539" s="142"/>
      <c r="J539" s="236"/>
      <c r="K539" s="1"/>
      <c r="L539" s="1"/>
      <c r="M539" s="1"/>
      <c r="N539" s="1"/>
      <c r="O539" s="1"/>
      <c r="P539" s="1"/>
      <c r="Q539" s="1"/>
      <c r="R539" s="1"/>
      <c r="S539" s="1"/>
      <c r="T539" s="1"/>
      <c r="U539" s="1"/>
      <c r="V539" s="1"/>
    </row>
    <row r="540" ht="12.0" customHeight="1">
      <c r="A540" s="336"/>
      <c r="B540" s="116" t="s">
        <v>294</v>
      </c>
      <c r="C540" s="237">
        <v>200.0</v>
      </c>
      <c r="D540" s="173">
        <f>ROUNDUP(((C540/C34)/2),0)</f>
        <v>5</v>
      </c>
      <c r="E540" s="154" t="str">
        <f>DEC2HEX(((D540)*2^16),8)</f>
        <v>00050000</v>
      </c>
      <c r="F540" s="193" t="s">
        <v>635</v>
      </c>
      <c r="G540" s="156" t="s">
        <v>706</v>
      </c>
      <c r="H540" s="156" t="str">
        <f>"0x"&amp;DEC2HEX((HEX2DEC(C37)+324), 8)</f>
        <v>0x3D403144</v>
      </c>
      <c r="I540" s="157" t="str">
        <f>"0x"&amp;DEC2HEX((HEX2DEC(E540)+HEX2DEC(E541)), 8)</f>
        <v>0x00050003</v>
      </c>
      <c r="J540" s="236"/>
      <c r="K540" s="1"/>
      <c r="L540" s="1"/>
      <c r="M540" s="1"/>
      <c r="N540" s="1"/>
      <c r="O540" s="1"/>
      <c r="P540" s="1"/>
      <c r="Q540" s="1"/>
      <c r="R540" s="1"/>
      <c r="S540" s="1"/>
      <c r="T540" s="1"/>
      <c r="U540" s="1"/>
      <c r="V540" s="1"/>
    </row>
    <row r="541" ht="12.0" customHeight="1">
      <c r="A541" s="336"/>
      <c r="B541" s="135" t="s">
        <v>297</v>
      </c>
      <c r="C541" s="238">
        <v>100.0</v>
      </c>
      <c r="D541" s="183">
        <f>ROUNDUP(((C541/C34)/2),0)</f>
        <v>3</v>
      </c>
      <c r="E541" s="138" t="str">
        <f>DEC2HEX(((D541)*2^0),8)</f>
        <v>00000003</v>
      </c>
      <c r="F541" s="195" t="s">
        <v>635</v>
      </c>
      <c r="G541" s="140"/>
      <c r="H541" s="140"/>
      <c r="I541" s="50"/>
      <c r="J541" s="220"/>
      <c r="K541" s="1"/>
      <c r="L541" s="1"/>
      <c r="M541" s="1"/>
      <c r="N541" s="1"/>
      <c r="O541" s="1"/>
      <c r="P541" s="1"/>
      <c r="Q541" s="1"/>
      <c r="R541" s="1"/>
      <c r="S541" s="1"/>
      <c r="T541" s="1"/>
      <c r="U541" s="1"/>
      <c r="V541" s="1"/>
    </row>
    <row r="542" ht="12.0" customHeight="1">
      <c r="A542" s="336"/>
      <c r="B542" s="109"/>
      <c r="C542" s="330"/>
      <c r="D542" s="141"/>
      <c r="E542" s="142"/>
      <c r="F542" s="110"/>
      <c r="G542" s="142"/>
      <c r="H542" s="142"/>
      <c r="I542" s="142"/>
      <c r="J542" s="220"/>
      <c r="K542" s="1"/>
      <c r="L542" s="1"/>
      <c r="M542" s="1"/>
      <c r="N542" s="1"/>
      <c r="O542" s="1"/>
      <c r="P542" s="1"/>
      <c r="Q542" s="1"/>
      <c r="R542" s="1"/>
      <c r="S542" s="1"/>
      <c r="T542" s="1"/>
      <c r="U542" s="1"/>
      <c r="V542" s="1"/>
    </row>
    <row r="543" ht="12.0" customHeight="1">
      <c r="A543" s="1"/>
      <c r="B543" s="116" t="s">
        <v>318</v>
      </c>
      <c r="C543" s="119" t="s">
        <v>91</v>
      </c>
      <c r="D543" s="247">
        <v>0.0</v>
      </c>
      <c r="E543" s="154" t="str">
        <f>DEC2HEX(((D543)*2^13),8)</f>
        <v>00000000</v>
      </c>
      <c r="F543" s="193" t="s">
        <v>635</v>
      </c>
      <c r="G543" s="156" t="s">
        <v>707</v>
      </c>
      <c r="H543" s="156" t="str">
        <f>"0x"&amp;DEC2HEX((HEX2DEC(C37)+32), 8)</f>
        <v>0x3D403020</v>
      </c>
      <c r="I543" s="157" t="str">
        <f>"0x"&amp;DEC2HEX((HEX2DEC(E543)+HEX2DEC(E544)+HEX2DEC(E545)+HEX2DEC(E546)+HEX2DEC(E547)+HEX2DEC(E548) ), 8)</f>
        <v>0x00001031</v>
      </c>
      <c r="J543" s="134"/>
      <c r="K543" s="1"/>
      <c r="L543" s="1"/>
      <c r="M543" s="1"/>
      <c r="N543" s="1"/>
      <c r="O543" s="1"/>
      <c r="P543" s="1"/>
      <c r="Q543" s="1"/>
      <c r="R543" s="1"/>
      <c r="S543" s="1"/>
      <c r="T543" s="1"/>
      <c r="U543" s="1"/>
      <c r="V543" s="1"/>
    </row>
    <row r="544" ht="12.0" customHeight="1">
      <c r="A544" s="1"/>
      <c r="B544" s="128" t="s">
        <v>321</v>
      </c>
      <c r="C544" s="175" t="s">
        <v>91</v>
      </c>
      <c r="D544" s="230">
        <v>1.0</v>
      </c>
      <c r="E544" s="130" t="str">
        <f>DEC2HEX(((D544)*2^12),8)</f>
        <v>00001000</v>
      </c>
      <c r="F544" s="203" t="s">
        <v>635</v>
      </c>
      <c r="G544" s="60"/>
      <c r="H544" s="60"/>
      <c r="I544" s="164"/>
      <c r="J544" s="134"/>
      <c r="K544" s="1"/>
      <c r="L544" s="1"/>
      <c r="M544" s="1"/>
      <c r="N544" s="1"/>
      <c r="O544" s="1"/>
      <c r="P544" s="1"/>
      <c r="Q544" s="1"/>
      <c r="R544" s="1"/>
      <c r="S544" s="1"/>
      <c r="T544" s="1"/>
      <c r="U544" s="1"/>
      <c r="V544" s="1"/>
    </row>
    <row r="545" ht="12.0" customHeight="1">
      <c r="A545" s="336"/>
      <c r="B545" s="128" t="s">
        <v>323</v>
      </c>
      <c r="C545" s="132">
        <v>3.75</v>
      </c>
      <c r="D545" s="129">
        <f>ROUNDUP(C545/C34/2, 0) - 1</f>
        <v>0</v>
      </c>
      <c r="E545" s="130" t="str">
        <f>DEC2HEX(((D545)*2^8),8)</f>
        <v>00000000</v>
      </c>
      <c r="F545" s="203" t="s">
        <v>635</v>
      </c>
      <c r="G545" s="60"/>
      <c r="H545" s="60"/>
      <c r="I545" s="164"/>
      <c r="J545" s="134"/>
      <c r="K545" s="1"/>
      <c r="L545" s="1"/>
      <c r="M545" s="1"/>
      <c r="N545" s="1"/>
      <c r="O545" s="1"/>
      <c r="P545" s="1"/>
      <c r="Q545" s="1"/>
      <c r="R545" s="1"/>
      <c r="S545" s="1"/>
      <c r="T545" s="1"/>
      <c r="U545" s="1"/>
      <c r="V545" s="1"/>
    </row>
    <row r="546" ht="12.0" customHeight="1">
      <c r="A546" s="336"/>
      <c r="B546" s="128" t="s">
        <v>325</v>
      </c>
      <c r="C546" s="175" t="s">
        <v>91</v>
      </c>
      <c r="D546" s="129">
        <f>D182</f>
        <v>3</v>
      </c>
      <c r="E546" s="130" t="str">
        <f>DEC2HEX(((D546)*2^4),8)</f>
        <v>00000030</v>
      </c>
      <c r="F546" s="203" t="s">
        <v>635</v>
      </c>
      <c r="G546" s="60"/>
      <c r="H546" s="60"/>
      <c r="I546" s="164"/>
      <c r="J546" s="134"/>
      <c r="K546" s="1"/>
      <c r="L546" s="1"/>
      <c r="M546" s="1"/>
      <c r="N546" s="1"/>
      <c r="O546" s="1"/>
      <c r="P546" s="1"/>
      <c r="Q546" s="1"/>
      <c r="R546" s="1"/>
      <c r="S546" s="1"/>
      <c r="T546" s="1"/>
      <c r="U546" s="1"/>
      <c r="V546" s="1"/>
    </row>
    <row r="547" ht="12.0" customHeight="1">
      <c r="A547" s="336"/>
      <c r="B547" s="128" t="s">
        <v>327</v>
      </c>
      <c r="C547" s="132">
        <v>1.875</v>
      </c>
      <c r="D547" s="129">
        <f>ROUNDUP(C547/C34/2, 0) - 1</f>
        <v>0</v>
      </c>
      <c r="E547" s="130" t="str">
        <f>DEC2HEX(((D547)*2^1),8)</f>
        <v>00000000</v>
      </c>
      <c r="F547" s="203" t="s">
        <v>635</v>
      </c>
      <c r="G547" s="60"/>
      <c r="H547" s="60"/>
      <c r="I547" s="164"/>
      <c r="J547" s="134"/>
      <c r="K547" s="1"/>
      <c r="L547" s="1"/>
      <c r="M547" s="1"/>
      <c r="N547" s="1"/>
      <c r="O547" s="1"/>
      <c r="P547" s="1"/>
      <c r="Q547" s="1"/>
      <c r="R547" s="1"/>
      <c r="S547" s="1"/>
      <c r="T547" s="1"/>
      <c r="U547" s="1"/>
      <c r="V547" s="1"/>
    </row>
    <row r="548" ht="12.0" customHeight="1">
      <c r="A548" s="336"/>
      <c r="B548" s="135" t="s">
        <v>329</v>
      </c>
      <c r="C548" s="178" t="s">
        <v>91</v>
      </c>
      <c r="D548" s="183">
        <f>D184</f>
        <v>1</v>
      </c>
      <c r="E548" s="138" t="str">
        <f>DEC2HEX(((D548)*2^0),8)</f>
        <v>00000001</v>
      </c>
      <c r="F548" s="195" t="s">
        <v>635</v>
      </c>
      <c r="G548" s="140"/>
      <c r="H548" s="140"/>
      <c r="I548" s="50"/>
      <c r="J548" s="134"/>
      <c r="K548" s="1"/>
      <c r="L548" s="1"/>
      <c r="M548" s="1"/>
      <c r="N548" s="1"/>
      <c r="O548" s="1"/>
      <c r="P548" s="1"/>
      <c r="Q548" s="1"/>
      <c r="R548" s="1"/>
      <c r="S548" s="1"/>
      <c r="T548" s="1"/>
      <c r="U548" s="1"/>
      <c r="V548" s="1"/>
    </row>
    <row r="549" ht="12.0" customHeight="1">
      <c r="A549" s="336"/>
      <c r="B549" s="109"/>
      <c r="C549" s="109"/>
      <c r="D549" s="109"/>
      <c r="E549" s="142"/>
      <c r="F549" s="151"/>
      <c r="G549" s="142"/>
      <c r="H549" s="142"/>
      <c r="I549" s="142"/>
      <c r="J549" s="1"/>
      <c r="K549" s="1"/>
      <c r="L549" s="1"/>
      <c r="M549" s="1"/>
      <c r="N549" s="1"/>
      <c r="O549" s="1"/>
      <c r="P549" s="1"/>
      <c r="Q549" s="1"/>
      <c r="R549" s="1"/>
      <c r="S549" s="1"/>
      <c r="T549" s="1"/>
      <c r="U549" s="1"/>
      <c r="V549" s="1"/>
    </row>
    <row r="550" ht="12.0" customHeight="1">
      <c r="A550" s="336"/>
      <c r="B550" s="144" t="s">
        <v>331</v>
      </c>
      <c r="C550" s="149">
        <v>32.0</v>
      </c>
      <c r="D550" s="331">
        <f>ROUNDUP(C550*1000000/C34/2, 0 )</f>
        <v>800000</v>
      </c>
      <c r="E550" s="147" t="str">
        <f>DEC2HEX(((D550)*2^0),8)</f>
        <v>000C3500</v>
      </c>
      <c r="F550" s="329" t="s">
        <v>635</v>
      </c>
      <c r="G550" s="147" t="s">
        <v>708</v>
      </c>
      <c r="H550" s="147" t="str">
        <f>"0x"&amp;DEC2HEX((HEX2DEC(C37)+36), 8)</f>
        <v>0x3D403024</v>
      </c>
      <c r="I550" s="234" t="str">
        <f>"0x"&amp;DEC2HEX(HEX2DEC(E550), 8)</f>
        <v>0x000C3500</v>
      </c>
      <c r="J550" s="134"/>
      <c r="K550" s="1"/>
      <c r="L550" s="1"/>
      <c r="M550" s="1"/>
      <c r="N550" s="1"/>
      <c r="O550" s="1"/>
      <c r="P550" s="1"/>
      <c r="Q550" s="1"/>
      <c r="R550" s="1"/>
      <c r="S550" s="1"/>
      <c r="T550" s="1"/>
      <c r="U550" s="1"/>
      <c r="V550" s="1"/>
    </row>
    <row r="551" ht="12.0" customHeight="1">
      <c r="A551" s="336"/>
      <c r="B551" s="109"/>
      <c r="C551" s="109"/>
      <c r="D551" s="109"/>
      <c r="E551" s="142"/>
      <c r="F551" s="151"/>
      <c r="G551" s="142"/>
      <c r="H551" s="142"/>
      <c r="I551" s="142"/>
      <c r="J551" s="1"/>
      <c r="K551" s="1"/>
      <c r="L551" s="1"/>
      <c r="M551" s="1"/>
      <c r="N551" s="1"/>
      <c r="O551" s="1"/>
      <c r="P551" s="1"/>
      <c r="Q551" s="1"/>
      <c r="R551" s="1"/>
      <c r="S551" s="1"/>
      <c r="T551" s="1"/>
      <c r="U551" s="1"/>
      <c r="V551" s="1"/>
    </row>
    <row r="552" ht="12.75" customHeight="1">
      <c r="A552" s="336"/>
      <c r="B552" s="116" t="s">
        <v>172</v>
      </c>
      <c r="C552" s="117" t="s">
        <v>91</v>
      </c>
      <c r="D552" s="119">
        <v>2.0</v>
      </c>
      <c r="E552" s="154" t="str">
        <f>DEC2HEX(((D552)*2^20),8)</f>
        <v>00200000</v>
      </c>
      <c r="F552" s="193" t="s">
        <v>635</v>
      </c>
      <c r="G552" s="156" t="s">
        <v>709</v>
      </c>
      <c r="H552" s="156" t="str">
        <f>"0x"&amp;DEC2HEX((HEX2DEC(C37)+HEX2DEC(50)), 8)</f>
        <v>0x3D403050</v>
      </c>
      <c r="I552" s="157" t="str">
        <f>"0x"&amp;DEC2HEX((HEX2DEC(E552)+HEX2DEC(E553)+HEX2DEC(E554)+HEX2DEC(E555)), 8)</f>
        <v>0x0020D000</v>
      </c>
      <c r="J552" s="1"/>
      <c r="K552" s="1"/>
      <c r="L552" s="1"/>
      <c r="M552" s="1"/>
      <c r="N552" s="1"/>
      <c r="O552" s="1"/>
      <c r="P552" s="1"/>
      <c r="Q552" s="1"/>
      <c r="R552" s="1"/>
      <c r="S552" s="1"/>
      <c r="T552" s="1"/>
      <c r="U552" s="1"/>
    </row>
    <row r="553" ht="12.0" customHeight="1">
      <c r="A553" s="336"/>
      <c r="B553" s="128" t="s">
        <v>176</v>
      </c>
      <c r="C553" s="175" t="s">
        <v>91</v>
      </c>
      <c r="D553" s="132">
        <v>13.0</v>
      </c>
      <c r="E553" s="130" t="str">
        <f>DEC2HEX(((D553)*2^12),8)</f>
        <v>0000D000</v>
      </c>
      <c r="F553" s="203" t="s">
        <v>635</v>
      </c>
      <c r="G553" s="60"/>
      <c r="H553" s="60"/>
      <c r="I553" s="164"/>
      <c r="J553" s="1"/>
      <c r="K553" s="1"/>
      <c r="L553" s="1"/>
      <c r="M553" s="1"/>
      <c r="N553" s="1"/>
      <c r="O553" s="1"/>
      <c r="P553" s="1"/>
      <c r="Q553" s="1"/>
      <c r="R553" s="1"/>
      <c r="S553" s="1"/>
      <c r="T553" s="1"/>
      <c r="U553" s="1"/>
    </row>
    <row r="554" ht="12.0" customHeight="1">
      <c r="A554" s="336"/>
      <c r="B554" s="128" t="s">
        <v>178</v>
      </c>
      <c r="C554" s="175" t="s">
        <v>91</v>
      </c>
      <c r="D554" s="132">
        <v>0.0</v>
      </c>
      <c r="E554" s="130" t="str">
        <f>DEC2HEX(((D554)*2^4),8)</f>
        <v>00000000</v>
      </c>
      <c r="F554" s="203" t="s">
        <v>635</v>
      </c>
      <c r="G554" s="60"/>
      <c r="H554" s="60"/>
      <c r="I554" s="164"/>
      <c r="J554" s="1"/>
      <c r="K554" s="1"/>
      <c r="L554" s="1"/>
      <c r="M554" s="1"/>
      <c r="N554" s="1"/>
      <c r="O554" s="1"/>
      <c r="P554" s="1"/>
      <c r="Q554" s="1"/>
      <c r="R554" s="1"/>
      <c r="S554" s="1"/>
      <c r="T554" s="1"/>
      <c r="U554" s="1"/>
    </row>
    <row r="555" ht="12.0" customHeight="1">
      <c r="A555" s="336"/>
      <c r="B555" s="135" t="s">
        <v>180</v>
      </c>
      <c r="C555" s="178" t="s">
        <v>91</v>
      </c>
      <c r="D555" s="136">
        <v>0.0</v>
      </c>
      <c r="E555" s="138" t="str">
        <f>DEC2HEX(((D555)*2^2),8)</f>
        <v>00000000</v>
      </c>
      <c r="F555" s="195" t="s">
        <v>635</v>
      </c>
      <c r="G555" s="140"/>
      <c r="H555" s="140"/>
      <c r="I555" s="50"/>
      <c r="J555" s="1"/>
      <c r="K555" s="1"/>
      <c r="L555" s="1"/>
      <c r="M555" s="1"/>
      <c r="N555" s="1"/>
      <c r="O555" s="1"/>
      <c r="P555" s="1"/>
      <c r="Q555" s="1"/>
      <c r="R555" s="1"/>
      <c r="S555" s="1"/>
      <c r="T555" s="1"/>
      <c r="U555" s="1"/>
    </row>
    <row r="556" ht="12.0" customHeight="1">
      <c r="A556" s="336"/>
      <c r="B556" s="109"/>
      <c r="C556" s="109"/>
      <c r="D556" s="109"/>
      <c r="E556" s="142"/>
      <c r="F556" s="110"/>
      <c r="G556" s="142"/>
      <c r="H556" s="142"/>
      <c r="I556" s="142"/>
      <c r="J556" s="1"/>
      <c r="K556" s="1"/>
      <c r="L556" s="1"/>
      <c r="M556" s="1"/>
      <c r="N556" s="1"/>
      <c r="O556" s="1"/>
      <c r="P556" s="1"/>
      <c r="Q556" s="1"/>
      <c r="R556" s="1"/>
      <c r="S556" s="1"/>
      <c r="T556" s="1"/>
      <c r="U556" s="1"/>
    </row>
    <row r="557" ht="12.0" customHeight="1">
      <c r="A557" s="336"/>
      <c r="B557" s="116" t="s">
        <v>299</v>
      </c>
      <c r="C557" s="119" t="s">
        <v>91</v>
      </c>
      <c r="D557" s="119">
        <v>0.0</v>
      </c>
      <c r="E557" s="154" t="str">
        <f>DEC2HEX(((D557)*2^31),8)</f>
        <v>00000000</v>
      </c>
      <c r="F557" s="193" t="s">
        <v>635</v>
      </c>
      <c r="G557" s="156" t="s">
        <v>710</v>
      </c>
      <c r="H557" s="156" t="str">
        <f>"0x"&amp;DEC2HEX((HEX2DEC(C37)+384), 8)</f>
        <v>0x3D403180</v>
      </c>
      <c r="I557" s="157" t="str">
        <f>"0x"&amp;DEC2HEX((HEX2DEC(E557)+HEX2DEC(E558)+HEX2DEC(E559)+HEX2DEC(E561)+HEX2DEC(E562)), 8)</f>
        <v>0x00190004</v>
      </c>
      <c r="J557" s="1"/>
      <c r="K557" s="1"/>
      <c r="L557" s="1"/>
      <c r="M557" s="1"/>
      <c r="N557" s="1"/>
      <c r="O557" s="1"/>
      <c r="P557" s="1"/>
      <c r="Q557" s="1"/>
      <c r="R557" s="1"/>
      <c r="S557" s="1"/>
      <c r="T557" s="1"/>
      <c r="U557" s="1"/>
      <c r="V557" s="1"/>
    </row>
    <row r="558" ht="12.0" customHeight="1">
      <c r="A558" s="336"/>
      <c r="B558" s="128" t="s">
        <v>302</v>
      </c>
      <c r="C558" s="132" t="s">
        <v>91</v>
      </c>
      <c r="D558" s="132">
        <v>0.0</v>
      </c>
      <c r="E558" s="130" t="str">
        <f>DEC2HEX(((D558)*2^30),8)</f>
        <v>00000000</v>
      </c>
      <c r="F558" s="203" t="s">
        <v>635</v>
      </c>
      <c r="G558" s="60"/>
      <c r="H558" s="60"/>
      <c r="I558" s="164"/>
      <c r="J558" s="1"/>
      <c r="K558" s="1"/>
      <c r="L558" s="1"/>
      <c r="M558" s="1"/>
      <c r="N558" s="1"/>
      <c r="O558" s="1"/>
      <c r="P558" s="1"/>
      <c r="Q558" s="1"/>
      <c r="R558" s="1"/>
      <c r="S558" s="1"/>
      <c r="T558" s="1"/>
      <c r="U558" s="1"/>
      <c r="V558" s="1"/>
    </row>
    <row r="559" ht="12.0" customHeight="1">
      <c r="A559" s="336"/>
      <c r="B559" s="128" t="s">
        <v>304</v>
      </c>
      <c r="C559" s="132" t="s">
        <v>91</v>
      </c>
      <c r="D559" s="133">
        <f>D170</f>
        <v>0</v>
      </c>
      <c r="E559" s="130" t="str">
        <f>DEC2HEX(((D559)*2^29),8)</f>
        <v>00000000</v>
      </c>
      <c r="F559" s="203" t="s">
        <v>635</v>
      </c>
      <c r="G559" s="60"/>
      <c r="H559" s="60"/>
      <c r="I559" s="164"/>
      <c r="J559" s="1"/>
      <c r="K559" s="1"/>
      <c r="L559" s="1"/>
      <c r="M559" s="1"/>
      <c r="N559" s="1"/>
      <c r="O559" s="1"/>
      <c r="P559" s="1"/>
      <c r="Q559" s="1"/>
      <c r="R559" s="1"/>
      <c r="S559" s="1"/>
      <c r="T559" s="1"/>
      <c r="U559" s="1"/>
      <c r="V559" s="1"/>
    </row>
    <row r="560" ht="12.0" customHeight="1">
      <c r="A560" s="336"/>
      <c r="B560" s="162" t="s">
        <v>306</v>
      </c>
      <c r="C560" s="175" t="s">
        <v>91</v>
      </c>
      <c r="D560" s="230">
        <v>0.0</v>
      </c>
      <c r="E560" s="130" t="str">
        <f>DEC2HEX(((D560)*2^28),8)</f>
        <v>00000000</v>
      </c>
      <c r="F560" s="203" t="s">
        <v>635</v>
      </c>
      <c r="G560" s="60"/>
      <c r="H560" s="60"/>
      <c r="I560" s="164"/>
      <c r="J560" s="1"/>
      <c r="K560" s="1"/>
      <c r="L560" s="1"/>
      <c r="M560" s="1"/>
      <c r="N560" s="1"/>
      <c r="O560" s="1"/>
      <c r="P560" s="1"/>
      <c r="Q560" s="1"/>
      <c r="R560" s="1"/>
      <c r="S560" s="1"/>
      <c r="T560" s="1"/>
      <c r="U560" s="1"/>
      <c r="V560" s="1"/>
    </row>
    <row r="561" ht="12.0" customHeight="1">
      <c r="A561" s="336"/>
      <c r="B561" s="162" t="s">
        <v>308</v>
      </c>
      <c r="C561" s="132">
        <v>1000.0</v>
      </c>
      <c r="D561" s="129">
        <f>ROUNDUP(((C561/C34)/2),0)</f>
        <v>25</v>
      </c>
      <c r="E561" s="130" t="str">
        <f>DEC2HEX(((D561)*2^16),8)</f>
        <v>00190000</v>
      </c>
      <c r="F561" s="203" t="s">
        <v>635</v>
      </c>
      <c r="G561" s="60"/>
      <c r="H561" s="60"/>
      <c r="I561" s="164"/>
      <c r="J561" s="1"/>
      <c r="K561" s="1"/>
      <c r="L561" s="1"/>
      <c r="M561" s="1"/>
      <c r="N561" s="1"/>
      <c r="O561" s="1"/>
      <c r="P561" s="1"/>
      <c r="Q561" s="1"/>
      <c r="R561" s="1"/>
      <c r="S561" s="1"/>
      <c r="T561" s="1"/>
      <c r="U561" s="1"/>
      <c r="V561" s="1"/>
    </row>
    <row r="562" ht="12.0" customHeight="1">
      <c r="A562" s="336"/>
      <c r="B562" s="135" t="s">
        <v>310</v>
      </c>
      <c r="C562" s="171">
        <f>MAX(30/C34,8)</f>
        <v>8</v>
      </c>
      <c r="D562" s="183">
        <f>ROUNDUP(((C562)/2),0)</f>
        <v>4</v>
      </c>
      <c r="E562" s="138" t="str">
        <f>DEC2HEX(((D562)*2^0),8)</f>
        <v>00000004</v>
      </c>
      <c r="F562" s="195" t="s">
        <v>635</v>
      </c>
      <c r="G562" s="140"/>
      <c r="H562" s="140"/>
      <c r="I562" s="50"/>
      <c r="J562" s="1"/>
      <c r="K562" s="1"/>
      <c r="L562" s="1"/>
      <c r="M562" s="1"/>
      <c r="N562" s="1"/>
      <c r="O562" s="1"/>
      <c r="P562" s="1"/>
      <c r="Q562" s="1"/>
      <c r="R562" s="1"/>
      <c r="S562" s="1"/>
      <c r="T562" s="1"/>
      <c r="U562" s="1"/>
      <c r="V562" s="1"/>
    </row>
    <row r="563" ht="12.0" customHeight="1">
      <c r="A563" s="336"/>
      <c r="B563" s="109"/>
      <c r="C563" s="109"/>
      <c r="D563" s="109"/>
      <c r="E563" s="142"/>
      <c r="F563" s="151"/>
      <c r="G563" s="142"/>
      <c r="H563" s="142"/>
      <c r="I563" s="142"/>
      <c r="J563" s="1"/>
      <c r="K563" s="1"/>
      <c r="L563" s="1"/>
      <c r="M563" s="1"/>
      <c r="N563" s="1"/>
      <c r="O563" s="1"/>
      <c r="P563" s="1"/>
      <c r="Q563" s="1"/>
      <c r="R563" s="1"/>
      <c r="S563" s="1"/>
      <c r="T563" s="1"/>
      <c r="U563" s="1"/>
      <c r="V563" s="1"/>
    </row>
    <row r="564" ht="12.0" customHeight="1">
      <c r="A564" s="336"/>
      <c r="B564" s="116" t="s">
        <v>479</v>
      </c>
      <c r="C564" s="119"/>
      <c r="D564" s="119">
        <v>3.0</v>
      </c>
      <c r="E564" s="154" t="str">
        <f>DEC2HEX(((D564)*2^24),8)</f>
        <v>03000000</v>
      </c>
      <c r="F564" s="193" t="s">
        <v>635</v>
      </c>
      <c r="G564" s="156" t="s">
        <v>711</v>
      </c>
      <c r="H564" s="156" t="str">
        <f>"0x"&amp;DEC2HEX((HEX2DEC(C37)+400), 8)</f>
        <v>0x3D403190</v>
      </c>
      <c r="I564" s="157" t="str">
        <f>"0x"&amp;DEC2HEX((HEX2DEC(E564)+HEX2DEC(E565)+HEX2DEC(E566)+HEX2DEC(E567)+HEX2DEC(E568)+HEX2DEC(E569) ), 8)</f>
        <v>0x03818200</v>
      </c>
      <c r="J564" s="1"/>
      <c r="K564" s="1"/>
      <c r="L564" s="1"/>
      <c r="M564" s="1"/>
      <c r="N564" s="1"/>
      <c r="O564" s="1"/>
      <c r="P564" s="1"/>
      <c r="Q564" s="1"/>
      <c r="R564" s="1"/>
      <c r="S564" s="1"/>
      <c r="T564" s="1"/>
      <c r="U564" s="1"/>
      <c r="V564" s="1"/>
    </row>
    <row r="565" ht="12.0" customHeight="1">
      <c r="A565" s="336"/>
      <c r="B565" s="128" t="s">
        <v>482</v>
      </c>
      <c r="C565" s="132"/>
      <c r="D565" s="132">
        <v>1.0</v>
      </c>
      <c r="E565" s="130" t="str">
        <f>DEC2HEX(((D565)*2^23),8)</f>
        <v>00800000</v>
      </c>
      <c r="F565" s="203" t="s">
        <v>635</v>
      </c>
      <c r="G565" s="60"/>
      <c r="H565" s="60"/>
      <c r="I565" s="164"/>
      <c r="J565" s="1"/>
      <c r="K565" s="1"/>
      <c r="L565" s="1"/>
      <c r="M565" s="1"/>
      <c r="N565" s="1"/>
      <c r="O565" s="1"/>
      <c r="P565" s="1"/>
      <c r="Q565" s="1"/>
      <c r="R565" s="1"/>
      <c r="S565" s="1"/>
      <c r="T565" s="1"/>
      <c r="U565" s="1"/>
      <c r="V565" s="1"/>
    </row>
    <row r="566" ht="12.0" customHeight="1">
      <c r="A566" s="336"/>
      <c r="B566" s="128" t="s">
        <v>484</v>
      </c>
      <c r="C566" s="132"/>
      <c r="D566" s="133">
        <f>(C505 - 5)</f>
        <v>1</v>
      </c>
      <c r="E566" s="130" t="str">
        <f>DEC2HEX(((D566)*2^16),8)</f>
        <v>00010000</v>
      </c>
      <c r="F566" s="203" t="s">
        <v>635</v>
      </c>
      <c r="G566" s="60"/>
      <c r="H566" s="60"/>
      <c r="I566" s="164"/>
      <c r="J566" s="312"/>
      <c r="K566" s="1"/>
      <c r="L566" s="1"/>
      <c r="M566" s="1"/>
      <c r="N566" s="1"/>
      <c r="O566" s="1"/>
      <c r="P566" s="1"/>
      <c r="Q566" s="1"/>
      <c r="R566" s="1"/>
      <c r="S566" s="1"/>
      <c r="T566" s="1"/>
      <c r="U566" s="1"/>
      <c r="V566" s="1"/>
    </row>
    <row r="567" ht="12.0" customHeight="1">
      <c r="A567" s="336"/>
      <c r="B567" s="128" t="s">
        <v>486</v>
      </c>
      <c r="C567" s="132"/>
      <c r="D567" s="132">
        <v>1.0</v>
      </c>
      <c r="E567" s="130" t="str">
        <f>DEC2HEX(((D567)*2^15),8)</f>
        <v>00008000</v>
      </c>
      <c r="F567" s="203" t="s">
        <v>635</v>
      </c>
      <c r="G567" s="60"/>
      <c r="H567" s="60"/>
      <c r="I567" s="164"/>
      <c r="J567" s="1"/>
      <c r="K567" s="1"/>
      <c r="L567" s="1"/>
      <c r="M567" s="1"/>
      <c r="N567" s="1"/>
      <c r="O567" s="1"/>
      <c r="P567" s="1"/>
      <c r="Q567" s="1"/>
      <c r="R567" s="1"/>
      <c r="S567" s="1"/>
      <c r="T567" s="1"/>
      <c r="U567" s="1"/>
      <c r="V567" s="1"/>
    </row>
    <row r="568" ht="12.0" customHeight="1">
      <c r="A568" s="336"/>
      <c r="B568" s="162" t="s">
        <v>488</v>
      </c>
      <c r="C568" s="132"/>
      <c r="D568" s="132">
        <v>2.0</v>
      </c>
      <c r="E568" s="130" t="str">
        <f>DEC2HEX(((D568)*2^8),8)</f>
        <v>00000200</v>
      </c>
      <c r="F568" s="203" t="s">
        <v>635</v>
      </c>
      <c r="G568" s="60"/>
      <c r="H568" s="60"/>
      <c r="I568" s="164"/>
      <c r="J568" s="1"/>
      <c r="K568" s="1"/>
      <c r="L568" s="1"/>
      <c r="M568" s="1"/>
      <c r="N568" s="1"/>
      <c r="O568" s="1"/>
      <c r="P568" s="1"/>
      <c r="Q568" s="1"/>
      <c r="R568" s="1"/>
      <c r="S568" s="1"/>
      <c r="T568" s="1"/>
      <c r="U568" s="1"/>
      <c r="V568" s="1"/>
    </row>
    <row r="569" ht="12.0" customHeight="1">
      <c r="A569" s="336"/>
      <c r="B569" s="135" t="s">
        <v>490</v>
      </c>
      <c r="C569" s="136"/>
      <c r="D569" s="171">
        <f>C504+1-5</f>
        <v>0</v>
      </c>
      <c r="E569" s="138" t="str">
        <f>DEC2HEX(((D569)*2^0),8)</f>
        <v>00000000</v>
      </c>
      <c r="F569" s="195" t="s">
        <v>635</v>
      </c>
      <c r="G569" s="140"/>
      <c r="H569" s="140"/>
      <c r="I569" s="50"/>
      <c r="J569" s="312"/>
      <c r="K569" s="1"/>
      <c r="L569" s="1"/>
      <c r="M569" s="1"/>
      <c r="N569" s="1"/>
      <c r="O569" s="1"/>
      <c r="P569" s="1"/>
      <c r="Q569" s="1"/>
      <c r="R569" s="1"/>
      <c r="S569" s="1"/>
      <c r="T569" s="1"/>
      <c r="U569" s="1"/>
      <c r="V569" s="1"/>
    </row>
    <row r="570" ht="12.0" customHeight="1">
      <c r="A570" s="336"/>
      <c r="B570" s="109"/>
      <c r="C570" s="109"/>
      <c r="D570" s="141"/>
      <c r="E570" s="142"/>
      <c r="F570" s="110"/>
      <c r="G570" s="142"/>
      <c r="H570" s="142"/>
      <c r="I570" s="142"/>
      <c r="J570" s="312"/>
      <c r="K570" s="1"/>
      <c r="L570" s="1"/>
      <c r="M570" s="1"/>
      <c r="N570" s="1"/>
      <c r="O570" s="1"/>
      <c r="P570" s="1"/>
      <c r="Q570" s="1"/>
      <c r="R570" s="1"/>
      <c r="S570" s="1"/>
      <c r="T570" s="1"/>
      <c r="U570" s="1"/>
      <c r="V570" s="1"/>
    </row>
    <row r="571" ht="12.0" customHeight="1">
      <c r="A571" s="336"/>
      <c r="B571" s="116" t="s">
        <v>492</v>
      </c>
      <c r="C571" s="119" t="s">
        <v>91</v>
      </c>
      <c r="D571" s="119">
        <v>0.0</v>
      </c>
      <c r="E571" s="154" t="str">
        <f>DEC2HEX(((D571)*2^28),8)</f>
        <v>00000000</v>
      </c>
      <c r="F571" s="193" t="s">
        <v>635</v>
      </c>
      <c r="G571" s="156" t="s">
        <v>712</v>
      </c>
      <c r="H571" s="156" t="str">
        <f>"0x"&amp;DEC2HEX((HEX2DEC(C37)+404), 8)</f>
        <v>0x3D403194</v>
      </c>
      <c r="I571" s="157" t="str">
        <f>"0x"&amp;DEC2HEX((HEX2DEC(E571)+HEX2DEC(E572)+HEX2DEC(E573)+HEX2DEC(E574)+HEX2DEC(E575)), 8)</f>
        <v>0x00080303</v>
      </c>
      <c r="J571" s="1"/>
      <c r="K571" s="1"/>
      <c r="L571" s="1"/>
      <c r="M571" s="1"/>
      <c r="N571" s="1"/>
      <c r="O571" s="1"/>
      <c r="P571" s="1"/>
      <c r="Q571" s="1"/>
      <c r="R571" s="1"/>
      <c r="S571" s="1"/>
      <c r="T571" s="1"/>
      <c r="U571" s="1"/>
      <c r="V571" s="1"/>
    </row>
    <row r="572" ht="12.0" customHeight="1">
      <c r="A572" s="336"/>
      <c r="B572" s="128" t="s">
        <v>495</v>
      </c>
      <c r="C572" s="132" t="s">
        <v>91</v>
      </c>
      <c r="D572" s="132">
        <v>0.0</v>
      </c>
      <c r="E572" s="130" t="str">
        <f>DEC2HEX(((D572)*2^24),8)</f>
        <v>00000000</v>
      </c>
      <c r="F572" s="203" t="s">
        <v>635</v>
      </c>
      <c r="G572" s="60"/>
      <c r="H572" s="60"/>
      <c r="I572" s="164"/>
      <c r="J572" s="1"/>
      <c r="K572" s="1"/>
      <c r="L572" s="1"/>
      <c r="M572" s="1"/>
      <c r="N572" s="1"/>
      <c r="O572" s="1"/>
      <c r="P572" s="1"/>
      <c r="Q572" s="1"/>
      <c r="R572" s="1"/>
      <c r="S572" s="1"/>
      <c r="T572" s="1"/>
      <c r="U572" s="1"/>
      <c r="V572" s="1"/>
    </row>
    <row r="573" ht="12.0" customHeight="1">
      <c r="A573" s="336"/>
      <c r="B573" s="128" t="s">
        <v>497</v>
      </c>
      <c r="C573" s="132" t="s">
        <v>91</v>
      </c>
      <c r="D573" s="133">
        <f>ROUNDUP((6 + D48 + D275)/2, 0)</f>
        <v>8</v>
      </c>
      <c r="E573" s="130" t="str">
        <f>DEC2HEX(((D573)*2^16),8)</f>
        <v>00080000</v>
      </c>
      <c r="F573" s="203" t="s">
        <v>635</v>
      </c>
      <c r="G573" s="60"/>
      <c r="H573" s="60"/>
      <c r="I573" s="164"/>
      <c r="J573" s="1"/>
      <c r="K573" s="1"/>
      <c r="L573" s="1"/>
      <c r="M573" s="1"/>
      <c r="N573" s="1"/>
      <c r="O573" s="1"/>
      <c r="P573" s="1"/>
      <c r="Q573" s="1"/>
      <c r="R573" s="1"/>
      <c r="S573" s="1"/>
      <c r="T573" s="1"/>
      <c r="U573" s="1"/>
      <c r="V573" s="1"/>
    </row>
    <row r="574" ht="12.0" customHeight="1">
      <c r="A574" s="336"/>
      <c r="B574" s="128" t="s">
        <v>499</v>
      </c>
      <c r="C574" s="132" t="s">
        <v>91</v>
      </c>
      <c r="D574" s="132">
        <v>3.0</v>
      </c>
      <c r="E574" s="130" t="str">
        <f>DEC2HEX(((D574)*2^8),8)</f>
        <v>00000300</v>
      </c>
      <c r="F574" s="203" t="s">
        <v>635</v>
      </c>
      <c r="G574" s="60"/>
      <c r="H574" s="60"/>
      <c r="I574" s="164"/>
      <c r="J574" s="1"/>
      <c r="K574" s="1"/>
      <c r="L574" s="1"/>
      <c r="M574" s="1"/>
      <c r="N574" s="1"/>
      <c r="O574" s="1"/>
      <c r="P574" s="1"/>
      <c r="Q574" s="1"/>
      <c r="R574" s="1"/>
      <c r="S574" s="1"/>
      <c r="T574" s="1"/>
      <c r="U574" s="1"/>
      <c r="V574" s="1"/>
    </row>
    <row r="575" ht="12.0" customHeight="1">
      <c r="A575" s="336"/>
      <c r="B575" s="135" t="s">
        <v>501</v>
      </c>
      <c r="C575" s="136" t="s">
        <v>91</v>
      </c>
      <c r="D575" s="136">
        <v>3.0</v>
      </c>
      <c r="E575" s="138" t="str">
        <f>DEC2HEX(((D575)*2^0),8)</f>
        <v>00000003</v>
      </c>
      <c r="F575" s="195" t="s">
        <v>635</v>
      </c>
      <c r="G575" s="140"/>
      <c r="H575" s="140"/>
      <c r="I575" s="50"/>
      <c r="J575" s="1"/>
      <c r="K575" s="1"/>
      <c r="L575" s="1"/>
      <c r="M575" s="1"/>
      <c r="N575" s="1"/>
      <c r="O575" s="1"/>
      <c r="P575" s="1"/>
      <c r="Q575" s="1"/>
      <c r="R575" s="1"/>
      <c r="S575" s="1"/>
      <c r="T575" s="1"/>
      <c r="U575" s="1"/>
      <c r="V575" s="1"/>
    </row>
    <row r="576" ht="12.0" customHeight="1">
      <c r="A576" s="336"/>
      <c r="B576" s="109"/>
      <c r="C576" s="109"/>
      <c r="D576" s="141"/>
      <c r="E576" s="142"/>
      <c r="F576" s="110"/>
      <c r="G576" s="142"/>
      <c r="H576" s="142"/>
      <c r="I576" s="142"/>
      <c r="J576" s="312"/>
      <c r="K576" s="1"/>
      <c r="L576" s="1"/>
      <c r="M576" s="1"/>
      <c r="N576" s="1"/>
      <c r="O576" s="1"/>
      <c r="P576" s="1"/>
      <c r="Q576" s="1"/>
      <c r="R576" s="1"/>
      <c r="S576" s="1"/>
      <c r="T576" s="1"/>
      <c r="U576" s="1"/>
      <c r="V576" s="1"/>
    </row>
    <row r="577" ht="12.0" customHeight="1">
      <c r="A577" s="336"/>
      <c r="B577" s="116" t="s">
        <v>503</v>
      </c>
      <c r="C577" s="117" t="s">
        <v>91</v>
      </c>
      <c r="D577" s="168">
        <f>(C505 - 5)</f>
        <v>1</v>
      </c>
      <c r="E577" s="154" t="str">
        <f>DEC2HEX(((D577)*2^8),8)</f>
        <v>00000100</v>
      </c>
      <c r="F577" s="193" t="s">
        <v>635</v>
      </c>
      <c r="G577" s="156" t="s">
        <v>713</v>
      </c>
      <c r="H577" s="156" t="str">
        <f>"0x"&amp;DEC2HEX((HEX2DEC(C37)+436), 8)</f>
        <v>0x3D4031B4</v>
      </c>
      <c r="I577" s="157" t="str">
        <f>"0x"&amp;DEC2HEX((HEX2DEC(E577)+HEX2DEC(E578)), 8)</f>
        <v>0x00000100</v>
      </c>
      <c r="J577" s="1"/>
      <c r="K577" s="1"/>
      <c r="L577" s="1"/>
      <c r="M577" s="1"/>
      <c r="N577" s="1"/>
      <c r="O577" s="1"/>
      <c r="P577" s="1"/>
      <c r="Q577" s="1"/>
      <c r="R577" s="1"/>
      <c r="S577" s="1"/>
      <c r="T577" s="1"/>
      <c r="U577" s="1"/>
      <c r="V577" s="1"/>
    </row>
    <row r="578" ht="12.0" customHeight="1">
      <c r="A578" s="336"/>
      <c r="B578" s="135" t="s">
        <v>506</v>
      </c>
      <c r="C578" s="178" t="s">
        <v>91</v>
      </c>
      <c r="D578" s="171">
        <f>(C504+1-5)</f>
        <v>0</v>
      </c>
      <c r="E578" s="138" t="str">
        <f>DEC2HEX(((D578)*2^0),8)</f>
        <v>00000000</v>
      </c>
      <c r="F578" s="195" t="s">
        <v>635</v>
      </c>
      <c r="G578" s="140"/>
      <c r="H578" s="140"/>
      <c r="I578" s="50"/>
      <c r="J578" s="1"/>
      <c r="K578" s="1"/>
      <c r="L578" s="1"/>
      <c r="M578" s="1"/>
      <c r="N578" s="1"/>
      <c r="O578" s="1"/>
      <c r="P578" s="1"/>
      <c r="Q578" s="1"/>
      <c r="R578" s="1"/>
      <c r="S578" s="1"/>
      <c r="T578" s="1"/>
      <c r="U578" s="1"/>
      <c r="V578" s="1"/>
    </row>
    <row r="579" ht="12.0" customHeight="1">
      <c r="A579" s="336"/>
      <c r="B579" s="109"/>
      <c r="C579" s="109"/>
      <c r="D579" s="109"/>
      <c r="E579" s="142"/>
      <c r="F579" s="151"/>
      <c r="G579" s="142"/>
      <c r="H579" s="142"/>
      <c r="I579" s="142"/>
      <c r="J579" s="1"/>
      <c r="K579" s="1"/>
      <c r="L579" s="1"/>
      <c r="M579" s="1"/>
      <c r="N579" s="1"/>
      <c r="O579" s="1"/>
      <c r="P579" s="1"/>
      <c r="Q579" s="1"/>
      <c r="R579" s="1"/>
      <c r="S579" s="1"/>
      <c r="T579" s="1"/>
      <c r="U579" s="1"/>
      <c r="V579" s="1"/>
    </row>
    <row r="580" ht="12.0" customHeight="1">
      <c r="A580" s="336"/>
      <c r="B580" s="116" t="s">
        <v>182</v>
      </c>
      <c r="C580" s="168">
        <f t="shared" ref="C580:C581" si="29">C99</f>
        <v>3904</v>
      </c>
      <c r="D580" s="173">
        <f>MAX(ROUNDDOWN(((C580/C34)/64), 0), 3)</f>
        <v>3</v>
      </c>
      <c r="E580" s="154" t="str">
        <f>DEC2HEX(((D580)*2^16),8)</f>
        <v>00030000</v>
      </c>
      <c r="F580" s="193" t="s">
        <v>635</v>
      </c>
      <c r="G580" s="156" t="s">
        <v>714</v>
      </c>
      <c r="H580" s="156" t="str">
        <f>"0x"&amp;DEC2HEX((HEX2DEC(C37)+HEX2DEC(64)), 8)</f>
        <v>0x3D403064</v>
      </c>
      <c r="I580" s="157" t="str">
        <f>"0x"&amp;DEC2HEX((HEX2DEC(E580)+HEX2DEC(E581)), 8)</f>
        <v>0x0003000A</v>
      </c>
      <c r="J580" s="194"/>
      <c r="K580" s="1"/>
      <c r="L580" s="1"/>
      <c r="M580" s="1"/>
      <c r="N580" s="1"/>
      <c r="O580" s="1"/>
      <c r="P580" s="1"/>
      <c r="Q580" s="1"/>
      <c r="R580" s="1"/>
      <c r="S580" s="1"/>
      <c r="T580" s="1"/>
      <c r="U580" s="1"/>
      <c r="V580" s="1"/>
    </row>
    <row r="581" ht="12.0" customHeight="1">
      <c r="A581" s="336"/>
      <c r="B581" s="135" t="s">
        <v>186</v>
      </c>
      <c r="C581" s="171">
        <f t="shared" si="29"/>
        <v>380</v>
      </c>
      <c r="D581" s="137">
        <f>ROUNDUP((C581/C34/2),0)</f>
        <v>10</v>
      </c>
      <c r="E581" s="138" t="str">
        <f>DEC2HEX(((D581)*2^0),8)</f>
        <v>0000000A</v>
      </c>
      <c r="F581" s="195" t="s">
        <v>635</v>
      </c>
      <c r="G581" s="140"/>
      <c r="H581" s="140"/>
      <c r="I581" s="50"/>
      <c r="J581" s="1"/>
      <c r="K581" s="1"/>
      <c r="L581" s="1"/>
      <c r="M581" s="1"/>
      <c r="N581" s="1"/>
      <c r="O581" s="1"/>
      <c r="P581" s="1"/>
      <c r="Q581" s="1"/>
      <c r="R581" s="1"/>
      <c r="S581" s="1"/>
      <c r="T581" s="1"/>
      <c r="U581" s="1"/>
      <c r="V581" s="1"/>
    </row>
    <row r="582" ht="12.0" customHeight="1">
      <c r="A582" s="336"/>
      <c r="B582" s="109"/>
      <c r="C582" s="109"/>
      <c r="D582" s="109"/>
      <c r="E582" s="142"/>
      <c r="F582" s="151"/>
      <c r="G582" s="142"/>
      <c r="H582" s="142"/>
      <c r="I582" s="142"/>
      <c r="J582" s="1"/>
      <c r="K582" s="1"/>
      <c r="L582" s="1"/>
      <c r="M582" s="1"/>
      <c r="N582" s="1"/>
      <c r="O582" s="1"/>
      <c r="P582" s="1"/>
      <c r="Q582" s="1"/>
      <c r="R582" s="1"/>
      <c r="S582" s="1"/>
      <c r="T582" s="1"/>
      <c r="U582" s="1"/>
      <c r="V582" s="1"/>
    </row>
    <row r="583" ht="12.0" customHeight="1">
      <c r="A583" s="336"/>
      <c r="B583" s="252" t="s">
        <v>715</v>
      </c>
      <c r="C583" s="253" t="s">
        <v>91</v>
      </c>
      <c r="D583" s="254">
        <v>1.0</v>
      </c>
      <c r="E583" s="121" t="str">
        <f>DEC2HEX(((D583)*2^23),8)</f>
        <v>00800000</v>
      </c>
      <c r="F583" s="193" t="s">
        <v>635</v>
      </c>
      <c r="G583" s="256" t="s">
        <v>716</v>
      </c>
      <c r="H583" s="156" t="str">
        <f>"0x"&amp;DEC2HEX((HEX2DEC(C37)+220), 8)</f>
        <v>0x3D4030DC</v>
      </c>
      <c r="I583" s="157" t="str">
        <f>"0x"&amp;DEC2HEX((HEX2DEC(E583)+HEX2DEC(E584)+HEX2DEC(E585)+HEX2DEC(E586)+HEX2DEC(E587)+HEX2DEC(E588)+HEX2DEC(E589)+HEX2DEC(E590)+HEX2DEC(E591)),8)</f>
        <v>0x00840000</v>
      </c>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ht="12.0" customHeight="1">
      <c r="A584" s="336"/>
      <c r="B584" s="257" t="s">
        <v>717</v>
      </c>
      <c r="C584" s="175" t="s">
        <v>91</v>
      </c>
      <c r="D584" s="176">
        <f>D590</f>
        <v>0</v>
      </c>
      <c r="E584" s="132" t="str">
        <f>DEC2HEX(((D584)*2^20),8)</f>
        <v>00000000</v>
      </c>
      <c r="F584" s="203" t="s">
        <v>635</v>
      </c>
      <c r="G584" s="259"/>
      <c r="H584" s="60"/>
      <c r="I584" s="164"/>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ht="12.0" customHeight="1">
      <c r="A585" s="336"/>
      <c r="B585" s="257" t="s">
        <v>718</v>
      </c>
      <c r="C585" s="175" t="s">
        <v>91</v>
      </c>
      <c r="D585" s="130">
        <v>0.0</v>
      </c>
      <c r="E585" s="132" t="str">
        <f>DEC2HEX(((D585)*2^19),8)</f>
        <v>00000000</v>
      </c>
      <c r="F585" s="203" t="s">
        <v>635</v>
      </c>
      <c r="G585" s="259"/>
      <c r="H585" s="60"/>
      <c r="I585" s="164"/>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ht="12.0" customHeight="1">
      <c r="A586" s="336"/>
      <c r="B586" s="257" t="s">
        <v>719</v>
      </c>
      <c r="C586" s="175" t="s">
        <v>91</v>
      </c>
      <c r="D586" s="130">
        <v>1.0</v>
      </c>
      <c r="E586" s="132" t="str">
        <f>DEC2HEX(((D586)*2^18),8)</f>
        <v>00040000</v>
      </c>
      <c r="F586" s="203" t="s">
        <v>635</v>
      </c>
      <c r="G586" s="259"/>
      <c r="H586" s="60"/>
      <c r="I586" s="164"/>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ht="12.0" customHeight="1">
      <c r="A587" s="336"/>
      <c r="B587" s="261" t="s">
        <v>720</v>
      </c>
      <c r="C587" s="178" t="s">
        <v>91</v>
      </c>
      <c r="D587" s="138">
        <v>0.0</v>
      </c>
      <c r="E587" s="136" t="str">
        <f>DEC2HEX(((D587)*2^16),8)</f>
        <v>00000000</v>
      </c>
      <c r="F587" s="195" t="s">
        <v>635</v>
      </c>
      <c r="G587" s="259"/>
      <c r="H587" s="60"/>
      <c r="I587" s="164"/>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ht="12.0" customHeight="1">
      <c r="A588" s="336"/>
      <c r="B588" s="263" t="s">
        <v>721</v>
      </c>
      <c r="C588" s="264" t="s">
        <v>91</v>
      </c>
      <c r="D588" s="265">
        <v>0.0</v>
      </c>
      <c r="E588" s="126" t="str">
        <f>DEC2HEX(((D588)*2^7),8)</f>
        <v>00000000</v>
      </c>
      <c r="F588" s="193" t="s">
        <v>635</v>
      </c>
      <c r="G588" s="259"/>
      <c r="H588" s="60"/>
      <c r="I588" s="164"/>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ht="12.0" customHeight="1">
      <c r="A589" s="336"/>
      <c r="B589" s="263" t="s">
        <v>722</v>
      </c>
      <c r="C589" s="175" t="s">
        <v>91</v>
      </c>
      <c r="D589" s="267">
        <v>0.0</v>
      </c>
      <c r="E589" s="126" t="str">
        <f>DEC2HEX(((D589)*2^6),8)</f>
        <v>00000000</v>
      </c>
      <c r="F589" s="203" t="s">
        <v>635</v>
      </c>
      <c r="G589" s="259"/>
      <c r="H589" s="60"/>
      <c r="I589" s="164"/>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ht="12.0" customHeight="1">
      <c r="A590" s="336"/>
      <c r="B590" s="263" t="s">
        <v>723</v>
      </c>
      <c r="C590" s="175" t="s">
        <v>91</v>
      </c>
      <c r="D590" s="176">
        <f>(C504-4)/2</f>
        <v>0</v>
      </c>
      <c r="E590" s="126" t="str">
        <f>DEC2HEX(((D590)*2^3),8)</f>
        <v>00000000</v>
      </c>
      <c r="F590" s="203" t="s">
        <v>635</v>
      </c>
      <c r="G590" s="259"/>
      <c r="H590" s="60"/>
      <c r="I590" s="164"/>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ht="12.0" customHeight="1">
      <c r="A591" s="336"/>
      <c r="B591" s="268" t="s">
        <v>724</v>
      </c>
      <c r="C591" s="178" t="s">
        <v>91</v>
      </c>
      <c r="D591" s="158">
        <f>D590</f>
        <v>0</v>
      </c>
      <c r="E591" s="269" t="str">
        <f>DEC2HEX(((D591)*2^0),8)</f>
        <v>00000000</v>
      </c>
      <c r="F591" s="195" t="s">
        <v>635</v>
      </c>
      <c r="G591" s="49"/>
      <c r="H591" s="140"/>
      <c r="I591" s="50"/>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ht="12.0" customHeight="1">
      <c r="A592" s="336"/>
      <c r="B592" s="109"/>
      <c r="C592" s="109"/>
      <c r="D592" s="109"/>
      <c r="E592" s="142"/>
      <c r="F592" s="151"/>
      <c r="G592" s="142"/>
      <c r="H592" s="142"/>
      <c r="I592" s="142"/>
      <c r="J592" s="1"/>
      <c r="K592" s="1"/>
      <c r="L592" s="1"/>
      <c r="M592" s="1"/>
      <c r="N592" s="1"/>
      <c r="O592" s="1"/>
      <c r="P592" s="1"/>
      <c r="Q592" s="1"/>
      <c r="R592" s="1"/>
      <c r="S592" s="1"/>
      <c r="T592" s="1"/>
      <c r="U592" s="1"/>
      <c r="V592" s="1"/>
    </row>
    <row r="593" ht="12.0" customHeight="1">
      <c r="A593" s="336"/>
      <c r="B593" s="286" t="s">
        <v>725</v>
      </c>
      <c r="C593" s="117" t="s">
        <v>91</v>
      </c>
      <c r="D593" s="287">
        <v>6.0</v>
      </c>
      <c r="E593" s="119" t="str">
        <f>DEC2HEX(((D593)*2^20),8)</f>
        <v>00600000</v>
      </c>
      <c r="F593" s="193" t="s">
        <v>635</v>
      </c>
      <c r="G593" s="289" t="s">
        <v>726</v>
      </c>
      <c r="H593" s="289" t="str">
        <f>"0x"&amp;DEC2HEX((HEX2DEC(C37)+232), 8)</f>
        <v>0x3D4030E8</v>
      </c>
      <c r="I593" s="290" t="str">
        <f>"0x"&amp;DEC2HEX((HEX2DEC(E593)+HEX2DEC(E594)+HEX2DEC(E595)+HEX2DEC(E596)), 8)</f>
        <v>0x00660048</v>
      </c>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ht="12.0" customHeight="1">
      <c r="A594" s="336"/>
      <c r="B594" s="291" t="s">
        <v>727</v>
      </c>
      <c r="C594" s="175" t="s">
        <v>91</v>
      </c>
      <c r="D594" s="279">
        <v>6.0</v>
      </c>
      <c r="E594" s="126" t="str">
        <f>DEC2HEX(((D594)*2^16),8)</f>
        <v>00060000</v>
      </c>
      <c r="F594" s="203" t="s">
        <v>635</v>
      </c>
      <c r="G594" s="60"/>
      <c r="H594" s="60"/>
      <c r="I594" s="164"/>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ht="12.0" customHeight="1">
      <c r="A595" s="336"/>
      <c r="B595" s="291" t="s">
        <v>728</v>
      </c>
      <c r="C595" s="175" t="s">
        <v>91</v>
      </c>
      <c r="D595" s="176">
        <f t="shared" ref="D595:D596" si="30">D238</f>
        <v>1</v>
      </c>
      <c r="E595" s="126" t="str">
        <f>DEC2HEX(((D595)*2^6),8)</f>
        <v>00000040</v>
      </c>
      <c r="F595" s="203" t="s">
        <v>635</v>
      </c>
      <c r="G595" s="60"/>
      <c r="H595" s="60"/>
      <c r="I595" s="164"/>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ht="12.0" customHeight="1">
      <c r="A596" s="336"/>
      <c r="B596" s="293" t="s">
        <v>729</v>
      </c>
      <c r="C596" s="178" t="s">
        <v>91</v>
      </c>
      <c r="D596" s="158">
        <f t="shared" si="30"/>
        <v>8</v>
      </c>
      <c r="E596" s="269" t="str">
        <f>DEC2HEX(((D596)*2^0),8)</f>
        <v>00000008</v>
      </c>
      <c r="F596" s="195" t="s">
        <v>635</v>
      </c>
      <c r="G596" s="140"/>
      <c r="H596" s="140"/>
      <c r="I596" s="50"/>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ht="12.0" customHeight="1">
      <c r="A597" s="336"/>
      <c r="B597" s="109"/>
      <c r="C597" s="109"/>
      <c r="D597" s="109"/>
      <c r="E597" s="142"/>
      <c r="F597" s="151"/>
      <c r="G597" s="142"/>
      <c r="H597" s="142"/>
      <c r="I597" s="142"/>
      <c r="J597" s="1"/>
      <c r="K597" s="1"/>
      <c r="L597" s="1"/>
      <c r="M597" s="1"/>
      <c r="N597" s="1"/>
      <c r="O597" s="1"/>
      <c r="P597" s="1"/>
      <c r="Q597" s="1"/>
      <c r="R597" s="1"/>
      <c r="S597" s="1"/>
      <c r="T597" s="1"/>
      <c r="U597" s="1"/>
      <c r="V597" s="1"/>
    </row>
    <row r="598" ht="12.0" customHeight="1">
      <c r="A598" s="336"/>
      <c r="B598" s="286" t="s">
        <v>730</v>
      </c>
      <c r="C598" s="117" t="s">
        <v>91</v>
      </c>
      <c r="D598" s="287">
        <v>0.0</v>
      </c>
      <c r="E598" s="119" t="str">
        <f>DEC2HEX(((D598)*2^21),8)</f>
        <v>00000000</v>
      </c>
      <c r="F598" s="193" t="s">
        <v>635</v>
      </c>
      <c r="G598" s="289" t="s">
        <v>731</v>
      </c>
      <c r="H598" s="289" t="str">
        <f>"0x"&amp;DEC2HEX((HEX2DEC(C37)+236), 8)</f>
        <v>0x3D4030EC</v>
      </c>
      <c r="I598" s="290" t="str">
        <f>"0x"&amp;DEC2HEX((HEX2DEC(E598)+HEX2DEC(E599)+HEX2DEC(E600)+HEX2DEC(E601)+HEX2DEC(E602)+HEX2DEC(E603) ), 8)</f>
        <v>0x00160048</v>
      </c>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ht="12.0" customHeight="1">
      <c r="A599" s="336"/>
      <c r="B599" s="291" t="s">
        <v>732</v>
      </c>
      <c r="C599" s="175" t="s">
        <v>91</v>
      </c>
      <c r="D599" s="279">
        <v>1.0</v>
      </c>
      <c r="E599" s="126" t="str">
        <f>DEC2HEX(((D599)*2^20),8)</f>
        <v>00100000</v>
      </c>
      <c r="F599" s="203" t="s">
        <v>635</v>
      </c>
      <c r="G599" s="60"/>
      <c r="H599" s="60"/>
      <c r="I599" s="164"/>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ht="12.0" customHeight="1">
      <c r="A600" s="336"/>
      <c r="B600" s="291" t="s">
        <v>733</v>
      </c>
      <c r="C600" s="175" t="s">
        <v>91</v>
      </c>
      <c r="D600" s="279">
        <v>0.0</v>
      </c>
      <c r="E600" s="126" t="str">
        <f>DEC2HEX(((D600)*2^19),8)</f>
        <v>00000000</v>
      </c>
      <c r="F600" s="203" t="s">
        <v>635</v>
      </c>
      <c r="G600" s="60"/>
      <c r="H600" s="60"/>
      <c r="I600" s="164"/>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ht="12.0" customHeight="1">
      <c r="A601" s="336"/>
      <c r="B601" s="291" t="s">
        <v>734</v>
      </c>
      <c r="C601" s="175" t="s">
        <v>91</v>
      </c>
      <c r="D601" s="279">
        <v>6.0</v>
      </c>
      <c r="E601" s="126" t="str">
        <f>DEC2HEX(((D601)*2^16),8)</f>
        <v>00060000</v>
      </c>
      <c r="F601" s="203" t="s">
        <v>635</v>
      </c>
      <c r="G601" s="60"/>
      <c r="H601" s="60"/>
      <c r="I601" s="164"/>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ht="12.0" customHeight="1">
      <c r="A602" s="336"/>
      <c r="B602" s="291" t="s">
        <v>735</v>
      </c>
      <c r="C602" s="175" t="s">
        <v>91</v>
      </c>
      <c r="D602" s="176">
        <f t="shared" ref="D602:D603" si="31">D245</f>
        <v>1</v>
      </c>
      <c r="E602" s="126" t="str">
        <f>DEC2HEX(((D602)*2^6),8)</f>
        <v>00000040</v>
      </c>
      <c r="F602" s="203" t="s">
        <v>635</v>
      </c>
      <c r="G602" s="60"/>
      <c r="H602" s="60"/>
      <c r="I602" s="164"/>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ht="12.0" customHeight="1">
      <c r="A603" s="336"/>
      <c r="B603" s="293" t="s">
        <v>736</v>
      </c>
      <c r="C603" s="178" t="s">
        <v>91</v>
      </c>
      <c r="D603" s="158">
        <f t="shared" si="31"/>
        <v>8</v>
      </c>
      <c r="E603" s="269" t="str">
        <f>DEC2HEX(((D603)*2^0),8)</f>
        <v>00000008</v>
      </c>
      <c r="F603" s="195" t="s">
        <v>635</v>
      </c>
      <c r="G603" s="140"/>
      <c r="H603" s="140"/>
      <c r="I603" s="50"/>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ht="12.0" customHeight="1">
      <c r="A604" s="336"/>
      <c r="B604" s="109"/>
      <c r="C604" s="109"/>
      <c r="D604" s="109"/>
      <c r="E604" s="142"/>
      <c r="F604" s="151"/>
      <c r="G604" s="142"/>
      <c r="H604" s="142"/>
      <c r="I604" s="142"/>
      <c r="J604" s="1"/>
      <c r="K604" s="1"/>
      <c r="L604" s="1"/>
      <c r="M604" s="1"/>
      <c r="N604" s="1"/>
      <c r="O604" s="1"/>
      <c r="P604" s="1"/>
      <c r="Q604" s="1"/>
      <c r="R604" s="1"/>
      <c r="S604" s="1"/>
      <c r="T604" s="1"/>
      <c r="U604" s="1"/>
      <c r="V604" s="1"/>
    </row>
    <row r="605" ht="12.0" customHeight="1">
      <c r="A605" s="336"/>
      <c r="B605" s="275" t="s">
        <v>737</v>
      </c>
      <c r="C605" s="117" t="s">
        <v>91</v>
      </c>
      <c r="D605" s="216">
        <f t="shared" ref="D605:D606" si="32">D221</f>
        <v>0</v>
      </c>
      <c r="E605" s="119" t="str">
        <f>DEC2HEX(((D605)*2^23),8)</f>
        <v>00000000</v>
      </c>
      <c r="F605" s="193" t="s">
        <v>635</v>
      </c>
      <c r="G605" s="256" t="s">
        <v>738</v>
      </c>
      <c r="H605" s="156" t="str">
        <f>"0x"&amp;DEC2HEX((HEX2DEC(C37)+224), 8)</f>
        <v>0x3D4030E0</v>
      </c>
      <c r="I605" s="157" t="str">
        <f>"0x"&amp;DEC2HEX((HEX2DEC(E605)+HEX2DEC(E606)+HEX2DEC(E607)+HEX2DEC(E608)+HEX2DEC(E609)+HEX2DEC(E610)+HEX2DEC(E611)+HEX2DEC(E612)+HEX2DEC(E613)+HEX2DEC(E614)+HEX2DEC(E615)+HEX2DEC(E616)+HEX2DEC(E617)+HEX2DEC(E618) ), 8)</f>
        <v>0x00330000</v>
      </c>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ht="12.0" customHeight="1">
      <c r="A606" s="336"/>
      <c r="B606" s="257" t="s">
        <v>739</v>
      </c>
      <c r="C606" s="175" t="s">
        <v>91</v>
      </c>
      <c r="D606" s="176">
        <f t="shared" si="32"/>
        <v>0</v>
      </c>
      <c r="E606" s="132" t="str">
        <f>DEC2HEX(((D606)*2^22),8)</f>
        <v>00000000</v>
      </c>
      <c r="F606" s="203" t="s">
        <v>635</v>
      </c>
      <c r="G606" s="259"/>
      <c r="H606" s="60"/>
      <c r="I606" s="164"/>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ht="12.0" customHeight="1">
      <c r="A607" s="336"/>
      <c r="B607" s="257" t="s">
        <v>740</v>
      </c>
      <c r="C607" s="175" t="s">
        <v>91</v>
      </c>
      <c r="D607" s="278">
        <v>6.0</v>
      </c>
      <c r="E607" s="132" t="str">
        <f>DEC2HEX(((D607)*2^19),8)</f>
        <v>00300000</v>
      </c>
      <c r="F607" s="203" t="s">
        <v>635</v>
      </c>
      <c r="G607" s="259"/>
      <c r="H607" s="60"/>
      <c r="I607" s="164"/>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ht="12.0" customHeight="1">
      <c r="A608" s="336"/>
      <c r="B608" s="257" t="s">
        <v>741</v>
      </c>
      <c r="C608" s="175" t="s">
        <v>91</v>
      </c>
      <c r="D608" s="130">
        <v>0.0</v>
      </c>
      <c r="E608" s="132" t="str">
        <f>DEC2HEX(((D608)*2^18),8)</f>
        <v>00000000</v>
      </c>
      <c r="F608" s="203" t="s">
        <v>635</v>
      </c>
      <c r="G608" s="259"/>
      <c r="H608" s="60"/>
      <c r="I608" s="164"/>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ht="12.0" customHeight="1">
      <c r="A609" s="336"/>
      <c r="B609" s="257" t="s">
        <v>742</v>
      </c>
      <c r="C609" s="175" t="s">
        <v>91</v>
      </c>
      <c r="D609" s="279">
        <v>1.0</v>
      </c>
      <c r="E609" s="132" t="str">
        <f>DEC2HEX(((D609)*2^17),8)</f>
        <v>00020000</v>
      </c>
      <c r="F609" s="203" t="s">
        <v>635</v>
      </c>
      <c r="G609" s="259"/>
      <c r="H609" s="60"/>
      <c r="I609" s="164"/>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ht="12.0" customHeight="1">
      <c r="A610" s="336"/>
      <c r="B610" s="261" t="s">
        <v>743</v>
      </c>
      <c r="C610" s="178" t="s">
        <v>91</v>
      </c>
      <c r="D610" s="280">
        <v>1.0</v>
      </c>
      <c r="E610" s="136" t="str">
        <f>DEC2HEX(((D610)*2^16),8)</f>
        <v>00010000</v>
      </c>
      <c r="F610" s="195" t="s">
        <v>635</v>
      </c>
      <c r="G610" s="259"/>
      <c r="H610" s="60"/>
      <c r="I610" s="164"/>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ht="12.0" customHeight="1">
      <c r="A611" s="336"/>
      <c r="B611" s="282" t="s">
        <v>744</v>
      </c>
      <c r="C611" s="264" t="s">
        <v>91</v>
      </c>
      <c r="D611" s="206">
        <v>0.0</v>
      </c>
      <c r="E611" s="126" t="str">
        <f>DEC2HEX(((D611)*2^7),8)</f>
        <v>00000000</v>
      </c>
      <c r="F611" s="193" t="s">
        <v>635</v>
      </c>
      <c r="G611" s="259"/>
      <c r="H611" s="60"/>
      <c r="I611" s="164"/>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ht="12.0" customHeight="1">
      <c r="A612" s="336"/>
      <c r="B612" s="284" t="s">
        <v>745</v>
      </c>
      <c r="C612" s="175" t="s">
        <v>91</v>
      </c>
      <c r="D612" s="130">
        <v>0.0</v>
      </c>
      <c r="E612" s="132" t="str">
        <f>DEC2HEX(((D612)*2^6),8)</f>
        <v>00000000</v>
      </c>
      <c r="F612" s="203" t="s">
        <v>635</v>
      </c>
      <c r="G612" s="259"/>
      <c r="H612" s="60"/>
      <c r="I612" s="164"/>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ht="12.0" customHeight="1">
      <c r="A613" s="336"/>
      <c r="B613" s="284" t="s">
        <v>746</v>
      </c>
      <c r="C613" s="175" t="s">
        <v>91</v>
      </c>
      <c r="D613" s="279">
        <v>0.0</v>
      </c>
      <c r="E613" s="132" t="str">
        <f>DEC2HEX(((D613)*2^5),8)</f>
        <v>00000000</v>
      </c>
      <c r="F613" s="203" t="s">
        <v>635</v>
      </c>
      <c r="G613" s="259"/>
      <c r="H613" s="60"/>
      <c r="I613" s="164"/>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ht="12.0" customHeight="1">
      <c r="A614" s="336"/>
      <c r="B614" s="284" t="s">
        <v>747</v>
      </c>
      <c r="C614" s="175" t="s">
        <v>91</v>
      </c>
      <c r="D614" s="130">
        <v>0.0</v>
      </c>
      <c r="E614" s="132" t="str">
        <f>DEC2HEX(((D614)*2^4),8)</f>
        <v>00000000</v>
      </c>
      <c r="F614" s="203" t="s">
        <v>635</v>
      </c>
      <c r="G614" s="259"/>
      <c r="H614" s="60"/>
      <c r="I614" s="164"/>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ht="12.0" customHeight="1">
      <c r="A615" s="336"/>
      <c r="B615" s="284" t="s">
        <v>748</v>
      </c>
      <c r="C615" s="175" t="s">
        <v>91</v>
      </c>
      <c r="D615" s="176">
        <f>D231</f>
        <v>0</v>
      </c>
      <c r="E615" s="132" t="str">
        <f>DEC2HEX(((D615)*2^3),8)</f>
        <v>00000000</v>
      </c>
      <c r="F615" s="203" t="s">
        <v>635</v>
      </c>
      <c r="G615" s="259"/>
      <c r="H615" s="60"/>
      <c r="I615" s="164"/>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ht="12.0" customHeight="1">
      <c r="A616" s="336"/>
      <c r="B616" s="284" t="s">
        <v>749</v>
      </c>
      <c r="C616" s="175" t="s">
        <v>91</v>
      </c>
      <c r="D616" s="130">
        <v>0.0</v>
      </c>
      <c r="E616" s="132" t="str">
        <f>DEC2HEX(((D616)*2^2),8)</f>
        <v>00000000</v>
      </c>
      <c r="F616" s="203" t="s">
        <v>635</v>
      </c>
      <c r="G616" s="259"/>
      <c r="H616" s="60"/>
      <c r="I616" s="164"/>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ht="12.0" customHeight="1">
      <c r="A617" s="336"/>
      <c r="B617" s="284" t="s">
        <v>750</v>
      </c>
      <c r="C617" s="175" t="s">
        <v>91</v>
      </c>
      <c r="D617" s="130">
        <v>0.0</v>
      </c>
      <c r="E617" s="132" t="str">
        <f>DEC2HEX(((D617)*2^1),8)</f>
        <v>00000000</v>
      </c>
      <c r="F617" s="203" t="s">
        <v>635</v>
      </c>
      <c r="G617" s="259"/>
      <c r="H617" s="60"/>
      <c r="I617" s="164"/>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ht="12.0" customHeight="1">
      <c r="A618" s="336"/>
      <c r="B618" s="285" t="s">
        <v>751</v>
      </c>
      <c r="C618" s="178" t="s">
        <v>91</v>
      </c>
      <c r="D618" s="138">
        <v>0.0</v>
      </c>
      <c r="E618" s="136" t="str">
        <f>DEC2HEX(((D618)*2^0),8)</f>
        <v>00000000</v>
      </c>
      <c r="F618" s="195" t="s">
        <v>635</v>
      </c>
      <c r="G618" s="49"/>
      <c r="H618" s="140"/>
      <c r="I618" s="50"/>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ht="12.0" customHeight="1">
      <c r="A619" s="336"/>
      <c r="B619" s="109"/>
      <c r="C619" s="109"/>
      <c r="D619" s="109"/>
      <c r="E619" s="142"/>
      <c r="F619" s="151"/>
      <c r="G619" s="142"/>
      <c r="H619" s="142"/>
      <c r="I619" s="142"/>
      <c r="J619" s="1"/>
      <c r="K619" s="1"/>
      <c r="L619" s="1"/>
      <c r="M619" s="1"/>
      <c r="N619" s="1"/>
      <c r="O619" s="1"/>
      <c r="P619" s="1"/>
      <c r="Q619" s="1"/>
      <c r="R619" s="1"/>
      <c r="S619" s="1"/>
      <c r="T619" s="1"/>
      <c r="U619" s="1"/>
      <c r="V619" s="1"/>
    </row>
    <row r="620" ht="12.0" customHeight="1">
      <c r="A620" s="336"/>
      <c r="B620" s="116" t="s">
        <v>203</v>
      </c>
      <c r="C620" s="119">
        <v>12.0</v>
      </c>
      <c r="D620" s="168">
        <f>(C620)</f>
        <v>12</v>
      </c>
      <c r="E620" s="154" t="str">
        <f>DEC2HEX(((D620)*2^8),8)</f>
        <v>00000C00</v>
      </c>
      <c r="F620" s="333" t="s">
        <v>635</v>
      </c>
      <c r="G620" s="156" t="s">
        <v>752</v>
      </c>
      <c r="H620" s="156" t="str">
        <f>"0x"&amp;DEC2HEX((HEX2DEC(C37)+244), 8)</f>
        <v>0x3D4030F4</v>
      </c>
      <c r="I620" s="157" t="str">
        <f>"0x"&amp;DEC2HEX((HEX2DEC(E620)+HEX2DEC(E621)+HEX2DEC(E622)), 8)</f>
        <v>0x00000C99</v>
      </c>
      <c r="J620" s="1"/>
      <c r="K620" s="1"/>
      <c r="L620" s="1"/>
      <c r="M620" s="1"/>
      <c r="N620" s="1"/>
      <c r="O620" s="1"/>
      <c r="P620" s="1"/>
      <c r="Q620" s="1"/>
      <c r="R620" s="1"/>
      <c r="S620" s="1"/>
      <c r="T620" s="1"/>
      <c r="U620" s="1"/>
      <c r="V620" s="1"/>
    </row>
    <row r="621" ht="12.0" customHeight="1">
      <c r="A621" s="336"/>
      <c r="B621" s="128" t="s">
        <v>206</v>
      </c>
      <c r="C621" s="132">
        <v>8.0</v>
      </c>
      <c r="D621" s="133">
        <f>(C621+1)</f>
        <v>9</v>
      </c>
      <c r="E621" s="130" t="str">
        <f>DEC2HEX(((D621)*2^4),8)</f>
        <v>00000090</v>
      </c>
      <c r="F621" s="334" t="s">
        <v>635</v>
      </c>
      <c r="G621" s="60"/>
      <c r="H621" s="60"/>
      <c r="I621" s="164"/>
      <c r="J621" s="1"/>
      <c r="K621" s="1"/>
      <c r="L621" s="1"/>
      <c r="M621" s="1"/>
      <c r="N621" s="1"/>
      <c r="O621" s="1"/>
      <c r="P621" s="1"/>
      <c r="Q621" s="1"/>
      <c r="R621" s="1"/>
      <c r="S621" s="1"/>
      <c r="T621" s="1"/>
      <c r="U621" s="1"/>
      <c r="V621" s="1"/>
    </row>
    <row r="622" ht="12.0" customHeight="1">
      <c r="A622" s="336"/>
      <c r="B622" s="135" t="s">
        <v>208</v>
      </c>
      <c r="C622" s="136">
        <v>9.0</v>
      </c>
      <c r="D622" s="136">
        <v>9.0</v>
      </c>
      <c r="E622" s="138" t="str">
        <f>DEC2HEX(((D622)*2^0),8)</f>
        <v>00000009</v>
      </c>
      <c r="F622" s="335" t="s">
        <v>635</v>
      </c>
      <c r="G622" s="140"/>
      <c r="H622" s="140"/>
      <c r="I622" s="50"/>
      <c r="J622" s="1"/>
      <c r="K622" s="1"/>
      <c r="L622" s="1"/>
      <c r="M622" s="1"/>
      <c r="N622" s="1"/>
      <c r="O622" s="1"/>
      <c r="P622" s="1"/>
      <c r="Q622" s="1"/>
      <c r="R622" s="1"/>
      <c r="S622" s="1"/>
      <c r="T622" s="1"/>
      <c r="U622" s="1"/>
      <c r="V622" s="1"/>
    </row>
    <row r="623" ht="12.0" customHeight="1">
      <c r="A623" s="336"/>
      <c r="B623" s="109"/>
      <c r="C623" s="109"/>
      <c r="D623" s="109"/>
      <c r="E623" s="142"/>
      <c r="F623" s="151"/>
      <c r="G623" s="142"/>
      <c r="H623" s="142"/>
      <c r="I623" s="142"/>
      <c r="J623" s="1"/>
      <c r="K623" s="1"/>
      <c r="L623" s="1"/>
      <c r="M623" s="1"/>
      <c r="N623" s="1"/>
      <c r="O623" s="1"/>
      <c r="P623" s="1"/>
      <c r="Q623" s="1"/>
      <c r="R623" s="1"/>
      <c r="S623" s="1"/>
      <c r="T623" s="1"/>
      <c r="U623" s="1"/>
      <c r="V623" s="1"/>
    </row>
    <row r="624" ht="12.0" customHeight="1">
      <c r="A624" s="336"/>
      <c r="B624" s="339"/>
      <c r="C624" s="339"/>
      <c r="D624" s="339"/>
      <c r="E624" s="340"/>
      <c r="F624" s="341"/>
      <c r="G624" s="340"/>
      <c r="H624" s="340"/>
      <c r="I624" s="340"/>
      <c r="J624" s="1"/>
      <c r="K624" s="1"/>
      <c r="L624" s="1"/>
      <c r="M624" s="1"/>
      <c r="N624" s="1"/>
      <c r="O624" s="1"/>
      <c r="P624" s="1"/>
      <c r="Q624" s="1"/>
      <c r="R624" s="1"/>
      <c r="S624" s="1"/>
      <c r="T624" s="1"/>
      <c r="U624" s="1"/>
      <c r="V624" s="1"/>
    </row>
    <row r="625" ht="12.0" customHeight="1">
      <c r="A625" s="1"/>
      <c r="E625" s="160"/>
      <c r="G625" s="160"/>
      <c r="H625" s="160"/>
      <c r="I625" s="160"/>
      <c r="K625" s="1"/>
      <c r="L625" s="1"/>
      <c r="M625" s="1"/>
      <c r="N625" s="1"/>
      <c r="O625" s="1"/>
      <c r="P625" s="1"/>
      <c r="Q625" s="1"/>
      <c r="R625" s="1"/>
      <c r="S625" s="1"/>
      <c r="T625" s="1"/>
      <c r="U625" s="1"/>
      <c r="V625" s="1"/>
    </row>
    <row r="626" ht="12.0" customHeight="1">
      <c r="A626" s="1"/>
      <c r="B626" s="324" t="s">
        <v>753</v>
      </c>
      <c r="C626" s="153"/>
      <c r="D626" s="153"/>
      <c r="E626" s="153"/>
      <c r="F626" s="153"/>
      <c r="G626" s="153"/>
      <c r="H626" s="153"/>
      <c r="I626" s="73"/>
      <c r="K626" s="1"/>
      <c r="L626" s="1"/>
      <c r="M626" s="1"/>
      <c r="N626" s="1"/>
      <c r="O626" s="1"/>
      <c r="P626" s="1"/>
      <c r="Q626" s="1"/>
      <c r="R626" s="1"/>
      <c r="S626" s="1"/>
      <c r="T626" s="1"/>
      <c r="U626" s="1"/>
      <c r="V626" s="1"/>
    </row>
    <row r="627" ht="12.0" customHeight="1">
      <c r="A627" s="1"/>
      <c r="E627" s="160"/>
      <c r="G627" s="160"/>
      <c r="H627" s="160"/>
      <c r="I627" s="160"/>
      <c r="K627" s="1"/>
      <c r="L627" s="1"/>
      <c r="M627" s="1"/>
      <c r="N627" s="1"/>
      <c r="O627" s="1"/>
      <c r="P627" s="1"/>
      <c r="Q627" s="1"/>
      <c r="R627" s="1"/>
      <c r="S627" s="1"/>
      <c r="T627" s="1"/>
      <c r="U627" s="1"/>
      <c r="V627" s="1"/>
    </row>
    <row r="628" ht="12.0" customHeight="1">
      <c r="A628" s="1"/>
      <c r="B628" s="130" t="s">
        <v>754</v>
      </c>
      <c r="C628" s="342" t="str">
        <f>"0x"&amp;DEC2HEX((HEX2DEC(E209)+HEX2DEC(E210)+HEX2DEC(E211)+HEX2DEC(E212)+HEX2DEC(E213))/65536,2)</f>
        <v>0xF4</v>
      </c>
      <c r="D628" s="343" t="s">
        <v>755</v>
      </c>
      <c r="E628" s="24"/>
      <c r="F628" s="24"/>
      <c r="G628" s="24"/>
      <c r="H628" s="24"/>
      <c r="I628" s="10"/>
      <c r="K628" s="1"/>
      <c r="L628" s="1"/>
      <c r="M628" s="1"/>
      <c r="N628" s="1"/>
      <c r="O628" s="1"/>
      <c r="P628" s="1"/>
      <c r="Q628" s="1"/>
      <c r="R628" s="1"/>
      <c r="S628" s="1"/>
      <c r="T628" s="1"/>
      <c r="U628" s="1"/>
      <c r="V628" s="1"/>
    </row>
    <row r="629" ht="12.0" customHeight="1">
      <c r="A629" s="1"/>
      <c r="B629" s="130" t="s">
        <v>756</v>
      </c>
      <c r="C629" s="342" t="str">
        <f>"0x"&amp;DEC2HEX((HEX2DEC(E214)+HEX2DEC(E215)+HEX2DEC(E216)+HEX2DEC(E217)),2)</f>
        <v>0x3F</v>
      </c>
      <c r="D629" s="343" t="s">
        <v>755</v>
      </c>
      <c r="E629" s="24"/>
      <c r="F629" s="24"/>
      <c r="G629" s="24"/>
      <c r="H629" s="24"/>
      <c r="I629" s="10"/>
      <c r="K629" s="1"/>
      <c r="L629" s="1"/>
      <c r="M629" s="1"/>
      <c r="N629" s="1"/>
      <c r="O629" s="1"/>
      <c r="P629" s="1"/>
      <c r="Q629" s="1"/>
      <c r="R629" s="1"/>
      <c r="S629" s="1"/>
      <c r="T629" s="1"/>
      <c r="U629" s="1"/>
      <c r="V629" s="1"/>
    </row>
    <row r="630" ht="12.0" customHeight="1">
      <c r="A630" s="1"/>
      <c r="B630" s="130" t="s">
        <v>757</v>
      </c>
      <c r="C630" s="342" t="str">
        <f>"0x"&amp;DEC2HEX((HEX2DEC(E221)+HEX2DEC(E222)+HEX2DEC(E223)+HEX2DEC(E224)+HEX2DEC(E225)+HEX2DEC(E226))/65536, 2)</f>
        <v>0x33</v>
      </c>
      <c r="D630" s="343" t="s">
        <v>758</v>
      </c>
      <c r="E630" s="24"/>
      <c r="F630" s="24"/>
      <c r="G630" s="24"/>
      <c r="H630" s="24"/>
      <c r="I630" s="10"/>
      <c r="K630" s="1"/>
      <c r="L630" s="1"/>
      <c r="M630" s="1"/>
      <c r="N630" s="1"/>
      <c r="O630" s="1"/>
      <c r="P630" s="1"/>
      <c r="Q630" s="1"/>
      <c r="R630" s="1"/>
      <c r="S630" s="1"/>
      <c r="T630" s="1"/>
      <c r="U630" s="1"/>
      <c r="V630" s="1"/>
    </row>
    <row r="631" ht="12.0" customHeight="1">
      <c r="A631" s="1"/>
      <c r="B631" s="130" t="s">
        <v>759</v>
      </c>
      <c r="C631" s="344" t="s">
        <v>760</v>
      </c>
      <c r="D631" s="343" t="s">
        <v>761</v>
      </c>
      <c r="E631" s="24"/>
      <c r="F631" s="24"/>
      <c r="G631" s="24"/>
      <c r="H631" s="24"/>
      <c r="I631" s="10"/>
      <c r="K631" s="1"/>
      <c r="L631" s="1"/>
      <c r="M631" s="1"/>
      <c r="N631" s="1"/>
      <c r="O631" s="1"/>
      <c r="P631" s="1"/>
      <c r="Q631" s="1"/>
      <c r="R631" s="1"/>
      <c r="S631" s="1"/>
      <c r="T631" s="1"/>
      <c r="U631" s="1"/>
      <c r="V631" s="1"/>
    </row>
    <row r="632" ht="12.0" customHeight="1">
      <c r="A632" s="1"/>
      <c r="B632" s="130" t="s">
        <v>762</v>
      </c>
      <c r="C632" s="342" t="str">
        <f>"0x"&amp;DEC2HEX((HEX2DEC(E236)+HEX2DEC(E237))/65536, 2)</f>
        <v>0x66</v>
      </c>
      <c r="D632" s="343" t="s">
        <v>763</v>
      </c>
      <c r="E632" s="24"/>
      <c r="F632" s="24"/>
      <c r="G632" s="24"/>
      <c r="H632" s="24"/>
      <c r="I632" s="10"/>
      <c r="K632" s="1"/>
      <c r="L632" s="1"/>
      <c r="M632" s="1"/>
      <c r="N632" s="1"/>
      <c r="O632" s="1"/>
      <c r="P632" s="1"/>
      <c r="Q632" s="1"/>
      <c r="R632" s="1"/>
      <c r="S632" s="1"/>
      <c r="T632" s="1"/>
      <c r="U632" s="1"/>
      <c r="V632" s="1"/>
    </row>
    <row r="633" ht="12.0" customHeight="1">
      <c r="A633" s="1"/>
      <c r="B633" s="130" t="s">
        <v>764</v>
      </c>
      <c r="C633" s="342" t="str">
        <f>"0x"&amp;DEC2HEX((HEX2DEC(E238)+HEX2DEC(E239)), 2)</f>
        <v>0x48</v>
      </c>
      <c r="D633" s="343" t="s">
        <v>763</v>
      </c>
      <c r="E633" s="24"/>
      <c r="F633" s="24"/>
      <c r="G633" s="24"/>
      <c r="H633" s="24"/>
      <c r="I633" s="10"/>
      <c r="K633" s="1"/>
      <c r="L633" s="1"/>
      <c r="M633" s="1"/>
      <c r="N633" s="1"/>
      <c r="O633" s="1"/>
      <c r="P633" s="1"/>
      <c r="Q633" s="1"/>
      <c r="R633" s="1"/>
      <c r="S633" s="1"/>
      <c r="T633" s="1"/>
      <c r="U633" s="1"/>
      <c r="V633" s="1"/>
    </row>
    <row r="634" ht="12.0" customHeight="1">
      <c r="A634" s="1"/>
      <c r="B634" s="130" t="s">
        <v>765</v>
      </c>
      <c r="C634" s="342" t="str">
        <f>"0x"&amp;DEC2HEX((HEX2DEC(E227)+HEX2DEC(E228)+HEX2DEC(E229)+HEX2DEC(E230)+HEX2DEC(E231)+HEX2DEC(E232)+HEX2DEC(E233)+HEX2DEC(E234) ), 2)</f>
        <v>0x00</v>
      </c>
      <c r="D634" s="343" t="s">
        <v>758</v>
      </c>
      <c r="E634" s="24"/>
      <c r="F634" s="24"/>
      <c r="G634" s="24"/>
      <c r="H634" s="24"/>
      <c r="I634" s="10"/>
      <c r="K634" s="1"/>
      <c r="L634" s="1"/>
      <c r="M634" s="1"/>
      <c r="N634" s="1"/>
      <c r="O634" s="1"/>
      <c r="P634" s="1"/>
      <c r="Q634" s="1"/>
      <c r="R634" s="1"/>
      <c r="S634" s="1"/>
      <c r="T634" s="1"/>
      <c r="U634" s="1"/>
      <c r="V634" s="1"/>
    </row>
    <row r="635" ht="12.0" customHeight="1">
      <c r="A635" s="1"/>
      <c r="B635" s="130" t="s">
        <v>766</v>
      </c>
      <c r="C635" s="342" t="str">
        <f>"0x"&amp;DEC2HEX((HEX2DEC(E245)+HEX2DEC(E246)), 2)</f>
        <v>0x48</v>
      </c>
      <c r="D635" s="343" t="s">
        <v>767</v>
      </c>
      <c r="E635" s="24"/>
      <c r="F635" s="24"/>
      <c r="G635" s="24"/>
      <c r="H635" s="24"/>
      <c r="I635" s="10"/>
      <c r="K635" s="1"/>
      <c r="L635" s="1"/>
      <c r="M635" s="1"/>
      <c r="N635" s="1"/>
      <c r="O635" s="1"/>
      <c r="P635" s="1"/>
      <c r="Q635" s="1"/>
      <c r="R635" s="1"/>
      <c r="S635" s="1"/>
      <c r="T635" s="1"/>
      <c r="U635" s="1"/>
      <c r="V635" s="1"/>
    </row>
    <row r="636" ht="12.0" customHeight="1">
      <c r="A636" s="1"/>
      <c r="B636" s="130" t="s">
        <v>768</v>
      </c>
      <c r="C636" s="344" t="s">
        <v>760</v>
      </c>
      <c r="D636" s="343" t="s">
        <v>761</v>
      </c>
      <c r="E636" s="24"/>
      <c r="F636" s="24"/>
      <c r="G636" s="24"/>
      <c r="H636" s="24"/>
      <c r="I636" s="10"/>
      <c r="K636" s="1"/>
      <c r="L636" s="1"/>
      <c r="M636" s="1"/>
      <c r="N636" s="1"/>
      <c r="O636" s="1"/>
      <c r="P636" s="1"/>
      <c r="Q636" s="1"/>
      <c r="R636" s="1"/>
      <c r="S636" s="1"/>
      <c r="T636" s="1"/>
      <c r="U636" s="1"/>
      <c r="V636" s="1"/>
    </row>
    <row r="637" ht="12.0" customHeight="1">
      <c r="A637" s="1"/>
      <c r="B637" s="130" t="s">
        <v>769</v>
      </c>
      <c r="C637" s="344" t="s">
        <v>760</v>
      </c>
      <c r="D637" s="343" t="s">
        <v>761</v>
      </c>
      <c r="E637" s="24"/>
      <c r="F637" s="24"/>
      <c r="G637" s="24"/>
      <c r="H637" s="24"/>
      <c r="I637" s="10"/>
      <c r="K637" s="1"/>
      <c r="L637" s="1"/>
      <c r="M637" s="1"/>
      <c r="N637" s="1"/>
      <c r="O637" s="1"/>
      <c r="P637" s="1"/>
      <c r="Q637" s="1"/>
      <c r="R637" s="1"/>
      <c r="S637" s="1"/>
      <c r="T637" s="1"/>
      <c r="U637" s="1"/>
      <c r="V637" s="1"/>
    </row>
    <row r="638" ht="12.0" customHeight="1">
      <c r="A638" s="1"/>
      <c r="B638" s="130" t="s">
        <v>770</v>
      </c>
      <c r="C638" s="342" t="str">
        <f>"0x"&amp;DEC2HEX((HEX2DEC(E241)+HEX2DEC(E242)+HEX2DEC(E243)+HEX2DEC(E244))/65536, 2)</f>
        <v>0x16</v>
      </c>
      <c r="D638" s="343" t="s">
        <v>767</v>
      </c>
      <c r="E638" s="24"/>
      <c r="F638" s="24"/>
      <c r="G638" s="24"/>
      <c r="H638" s="24"/>
      <c r="I638" s="10"/>
      <c r="K638" s="1"/>
      <c r="L638" s="1"/>
      <c r="M638" s="1"/>
      <c r="N638" s="1"/>
      <c r="O638" s="1"/>
      <c r="P638" s="1"/>
      <c r="Q638" s="1"/>
      <c r="R638" s="1"/>
      <c r="S638" s="1"/>
      <c r="T638" s="1"/>
      <c r="U638" s="1"/>
      <c r="V638" s="1"/>
    </row>
    <row r="639" ht="12.0" customHeight="1">
      <c r="A639" s="1"/>
      <c r="B639" s="130" t="s">
        <v>771</v>
      </c>
      <c r="C639" s="344" t="s">
        <v>760</v>
      </c>
      <c r="D639" s="343" t="s">
        <v>761</v>
      </c>
      <c r="E639" s="24"/>
      <c r="F639" s="24"/>
      <c r="G639" s="24"/>
      <c r="H639" s="24"/>
      <c r="I639" s="10"/>
      <c r="K639" s="1"/>
      <c r="L639" s="1"/>
      <c r="M639" s="1"/>
      <c r="N639" s="1"/>
      <c r="O639" s="1"/>
      <c r="P639" s="1"/>
      <c r="Q639" s="1"/>
      <c r="R639" s="1"/>
      <c r="S639" s="1"/>
      <c r="T639" s="1"/>
      <c r="U639" s="1"/>
      <c r="V639" s="1"/>
    </row>
    <row r="640" ht="12.0" customHeight="1">
      <c r="A640" s="1"/>
      <c r="B640" s="142"/>
      <c r="C640" s="330"/>
      <c r="D640" s="345"/>
      <c r="E640" s="345"/>
      <c r="F640" s="345"/>
      <c r="G640" s="345"/>
      <c r="H640" s="345"/>
      <c r="I640" s="345"/>
      <c r="K640" s="1"/>
      <c r="L640" s="1"/>
      <c r="M640" s="1"/>
      <c r="N640" s="1"/>
      <c r="O640" s="1"/>
      <c r="P640" s="1"/>
      <c r="Q640" s="1"/>
      <c r="R640" s="1"/>
      <c r="S640" s="1"/>
      <c r="T640" s="1"/>
      <c r="U640" s="1"/>
      <c r="V640" s="1"/>
    </row>
    <row r="641" ht="12.0" customHeight="1">
      <c r="A641" s="1"/>
      <c r="B641" s="130" t="s">
        <v>772</v>
      </c>
      <c r="C641" s="342" t="str">
        <f>"0x"&amp;DEC2HEX((HEX2DEC(E452)+HEX2DEC(E453)+HEX2DEC(E454)+HEX2DEC(E455)+HEX2DEC(E456))/65536,2)</f>
        <v>0x84</v>
      </c>
      <c r="D641" s="343" t="s">
        <v>773</v>
      </c>
      <c r="E641" s="24"/>
      <c r="F641" s="24"/>
      <c r="G641" s="24"/>
      <c r="H641" s="24"/>
      <c r="I641" s="10"/>
      <c r="K641" s="1"/>
      <c r="L641" s="1"/>
      <c r="M641" s="1"/>
      <c r="N641" s="1"/>
      <c r="O641" s="1"/>
      <c r="P641" s="1"/>
      <c r="Q641" s="1"/>
      <c r="R641" s="1"/>
      <c r="S641" s="1"/>
      <c r="T641" s="1"/>
      <c r="U641" s="1"/>
      <c r="V641" s="1"/>
    </row>
    <row r="642" ht="12.0" customHeight="1">
      <c r="A642" s="1"/>
      <c r="B642" s="130" t="s">
        <v>774</v>
      </c>
      <c r="C642" s="342" t="str">
        <f>"0x"&amp;DEC2HEX((HEX2DEC(E457)+HEX2DEC(E458)+HEX2DEC(E459)+HEX2DEC(E460)),2)</f>
        <v>0x00</v>
      </c>
      <c r="D642" s="343" t="s">
        <v>775</v>
      </c>
      <c r="E642" s="24"/>
      <c r="F642" s="24"/>
      <c r="G642" s="24"/>
      <c r="H642" s="24"/>
      <c r="I642" s="10"/>
      <c r="K642" s="1"/>
      <c r="L642" s="1"/>
      <c r="M642" s="1"/>
      <c r="N642" s="1"/>
      <c r="O642" s="1"/>
      <c r="P642" s="1"/>
      <c r="Q642" s="1"/>
      <c r="R642" s="1"/>
      <c r="S642" s="1"/>
      <c r="T642" s="1"/>
      <c r="U642" s="1"/>
      <c r="V642" s="1"/>
    </row>
    <row r="643" ht="12.0" customHeight="1">
      <c r="A643" s="1"/>
      <c r="B643" s="130" t="s">
        <v>776</v>
      </c>
      <c r="C643" s="342" t="str">
        <f>"0x"&amp;DEC2HEX((HEX2DEC(E474)+HEX2DEC(E475)+HEX2DEC(E476)+HEX2DEC(E477)+HEX2DEC(E478)+HEX2DEC(E479))/65536, 2)</f>
        <v>0x33</v>
      </c>
      <c r="D643" s="343" t="s">
        <v>758</v>
      </c>
      <c r="E643" s="24"/>
      <c r="F643" s="24"/>
      <c r="G643" s="24"/>
      <c r="H643" s="24"/>
      <c r="I643" s="10"/>
      <c r="K643" s="1"/>
      <c r="L643" s="1"/>
      <c r="M643" s="1"/>
      <c r="N643" s="1"/>
      <c r="O643" s="1"/>
      <c r="P643" s="1"/>
      <c r="Q643" s="1"/>
      <c r="R643" s="1"/>
      <c r="S643" s="1"/>
      <c r="T643" s="1"/>
      <c r="U643" s="1"/>
      <c r="V643" s="1"/>
    </row>
    <row r="644" ht="12.0" customHeight="1">
      <c r="A644" s="1"/>
      <c r="B644" s="130" t="s">
        <v>777</v>
      </c>
      <c r="C644" s="344" t="s">
        <v>760</v>
      </c>
      <c r="D644" s="343" t="s">
        <v>761</v>
      </c>
      <c r="E644" s="24"/>
      <c r="F644" s="24"/>
      <c r="G644" s="24"/>
      <c r="H644" s="24"/>
      <c r="I644" s="10"/>
      <c r="K644" s="1"/>
      <c r="L644" s="1"/>
      <c r="M644" s="1"/>
      <c r="N644" s="1"/>
      <c r="O644" s="1"/>
      <c r="P644" s="1"/>
      <c r="Q644" s="1"/>
      <c r="R644" s="1"/>
      <c r="S644" s="1"/>
      <c r="T644" s="1"/>
      <c r="U644" s="1"/>
      <c r="V644" s="1"/>
    </row>
    <row r="645" ht="12.0" customHeight="1">
      <c r="A645" s="1"/>
      <c r="B645" s="130" t="s">
        <v>778</v>
      </c>
      <c r="C645" s="342" t="str">
        <f>"0x"&amp;DEC2HEX((HEX2DEC(E462)+HEX2DEC(E463))/65536, 2)</f>
        <v>0x66</v>
      </c>
      <c r="D645" s="343" t="s">
        <v>763</v>
      </c>
      <c r="E645" s="24"/>
      <c r="F645" s="24"/>
      <c r="G645" s="24"/>
      <c r="H645" s="24"/>
      <c r="I645" s="10"/>
      <c r="K645" s="1"/>
      <c r="L645" s="1"/>
      <c r="M645" s="1"/>
      <c r="N645" s="1"/>
      <c r="O645" s="1"/>
      <c r="P645" s="1"/>
      <c r="Q645" s="1"/>
      <c r="R645" s="1"/>
      <c r="S645" s="1"/>
      <c r="T645" s="1"/>
      <c r="U645" s="1"/>
      <c r="V645" s="1"/>
    </row>
    <row r="646" ht="12.0" customHeight="1">
      <c r="A646" s="1"/>
      <c r="B646" s="130" t="s">
        <v>779</v>
      </c>
      <c r="C646" s="342" t="str">
        <f>"0x"&amp;DEC2HEX((HEX2DEC(E464)+HEX2DEC(E465)), 2)</f>
        <v>0x48</v>
      </c>
      <c r="D646" s="343" t="s">
        <v>763</v>
      </c>
      <c r="E646" s="24"/>
      <c r="F646" s="24"/>
      <c r="G646" s="24"/>
      <c r="H646" s="24"/>
      <c r="I646" s="10"/>
      <c r="K646" s="1"/>
      <c r="L646" s="1"/>
      <c r="M646" s="1"/>
      <c r="N646" s="1"/>
      <c r="O646" s="1"/>
      <c r="P646" s="1"/>
      <c r="Q646" s="1"/>
      <c r="R646" s="1"/>
      <c r="S646" s="1"/>
      <c r="T646" s="1"/>
      <c r="U646" s="1"/>
      <c r="V646" s="1"/>
    </row>
    <row r="647" ht="12.0" customHeight="1">
      <c r="A647" s="1"/>
      <c r="B647" s="130" t="s">
        <v>780</v>
      </c>
      <c r="C647" s="342" t="str">
        <f>"0x"&amp;DEC2HEX((HEX2DEC(E480)+HEX2DEC(E481)+HEX2DEC(E482)+HEX2DEC(E483)+HEX2DEC(E484)+HEX2DEC(E485)+HEX2DEC(E486)+HEX2DEC(E487) ), 2)</f>
        <v>0x00</v>
      </c>
      <c r="D647" s="343" t="s">
        <v>758</v>
      </c>
      <c r="E647" s="24"/>
      <c r="F647" s="24"/>
      <c r="G647" s="24"/>
      <c r="H647" s="24"/>
      <c r="I647" s="10"/>
      <c r="K647" s="1"/>
      <c r="L647" s="1"/>
      <c r="M647" s="1"/>
      <c r="N647" s="1"/>
      <c r="O647" s="1"/>
      <c r="P647" s="1"/>
      <c r="Q647" s="1"/>
      <c r="R647" s="1"/>
      <c r="S647" s="1"/>
      <c r="T647" s="1"/>
      <c r="U647" s="1"/>
      <c r="V647" s="1"/>
    </row>
    <row r="648" ht="12.0" customHeight="1">
      <c r="A648" s="1"/>
      <c r="B648" s="130" t="s">
        <v>781</v>
      </c>
      <c r="C648" s="342" t="str">
        <f>"0x"&amp;DEC2HEX((HEX2DEC(E471)+HEX2DEC(E472)), 2)</f>
        <v>0x48</v>
      </c>
      <c r="D648" s="343" t="s">
        <v>767</v>
      </c>
      <c r="E648" s="24"/>
      <c r="F648" s="24"/>
      <c r="G648" s="24"/>
      <c r="H648" s="24"/>
      <c r="I648" s="10"/>
      <c r="K648" s="1"/>
      <c r="L648" s="1"/>
      <c r="M648" s="1"/>
      <c r="N648" s="1"/>
      <c r="O648" s="1"/>
      <c r="P648" s="1"/>
      <c r="Q648" s="1"/>
      <c r="R648" s="1"/>
      <c r="S648" s="1"/>
      <c r="T648" s="1"/>
      <c r="U648" s="1"/>
      <c r="V648" s="1"/>
    </row>
    <row r="649" ht="12.0" customHeight="1">
      <c r="A649" s="1"/>
      <c r="B649" s="130" t="s">
        <v>782</v>
      </c>
      <c r="C649" s="344" t="s">
        <v>760</v>
      </c>
      <c r="D649" s="343" t="s">
        <v>761</v>
      </c>
      <c r="E649" s="24"/>
      <c r="F649" s="24"/>
      <c r="G649" s="24"/>
      <c r="H649" s="24"/>
      <c r="I649" s="10"/>
      <c r="K649" s="1"/>
      <c r="L649" s="1"/>
      <c r="M649" s="1"/>
      <c r="N649" s="1"/>
      <c r="O649" s="1"/>
      <c r="P649" s="1"/>
      <c r="Q649" s="1"/>
      <c r="R649" s="1"/>
      <c r="S649" s="1"/>
      <c r="T649" s="1"/>
      <c r="U649" s="1"/>
      <c r="V649" s="1"/>
    </row>
    <row r="650" ht="12.0" customHeight="1">
      <c r="A650" s="1"/>
      <c r="B650" s="130" t="s">
        <v>783</v>
      </c>
      <c r="C650" s="344" t="s">
        <v>760</v>
      </c>
      <c r="D650" s="343" t="s">
        <v>761</v>
      </c>
      <c r="E650" s="24"/>
      <c r="F650" s="24"/>
      <c r="G650" s="24"/>
      <c r="H650" s="24"/>
      <c r="I650" s="10"/>
      <c r="K650" s="1"/>
      <c r="L650" s="1"/>
      <c r="M650" s="1"/>
      <c r="N650" s="1"/>
      <c r="O650" s="1"/>
      <c r="P650" s="1"/>
      <c r="Q650" s="1"/>
      <c r="R650" s="1"/>
      <c r="S650" s="1"/>
      <c r="T650" s="1"/>
      <c r="U650" s="1"/>
      <c r="V650" s="1"/>
    </row>
    <row r="651" ht="12.0" customHeight="1">
      <c r="A651" s="1"/>
      <c r="B651" s="130" t="s">
        <v>784</v>
      </c>
      <c r="C651" s="342" t="str">
        <f>"0x"&amp;DEC2HEX((HEX2DEC(E467)+HEX2DEC(E468)+HEX2DEC(E469)+HEX2DEC(E470))/65536, 2)</f>
        <v>0x16</v>
      </c>
      <c r="D651" s="343" t="s">
        <v>767</v>
      </c>
      <c r="E651" s="24"/>
      <c r="F651" s="24"/>
      <c r="G651" s="24"/>
      <c r="H651" s="24"/>
      <c r="I651" s="10"/>
      <c r="K651" s="1"/>
      <c r="L651" s="1"/>
      <c r="M651" s="1"/>
      <c r="N651" s="1"/>
      <c r="O651" s="1"/>
      <c r="P651" s="1"/>
      <c r="Q651" s="1"/>
      <c r="R651" s="1"/>
      <c r="S651" s="1"/>
      <c r="T651" s="1"/>
      <c r="U651" s="1"/>
      <c r="V651" s="1"/>
    </row>
    <row r="652" ht="12.0" customHeight="1">
      <c r="A652" s="1"/>
      <c r="B652" s="130" t="s">
        <v>785</v>
      </c>
      <c r="C652" s="344" t="s">
        <v>760</v>
      </c>
      <c r="D652" s="343" t="s">
        <v>761</v>
      </c>
      <c r="E652" s="24"/>
      <c r="F652" s="24"/>
      <c r="G652" s="24"/>
      <c r="H652" s="24"/>
      <c r="I652" s="10"/>
      <c r="K652" s="1"/>
      <c r="L652" s="1"/>
      <c r="M652" s="1"/>
      <c r="N652" s="1"/>
      <c r="O652" s="1"/>
      <c r="P652" s="1"/>
      <c r="Q652" s="1"/>
      <c r="R652" s="1"/>
      <c r="S652" s="1"/>
      <c r="T652" s="1"/>
      <c r="U652" s="1"/>
      <c r="V652" s="1"/>
    </row>
    <row r="653" ht="12.0" customHeight="1">
      <c r="A653" s="1"/>
      <c r="B653" s="142"/>
      <c r="C653" s="235"/>
      <c r="D653" s="345"/>
      <c r="E653" s="345"/>
      <c r="F653" s="345"/>
      <c r="G653" s="345"/>
      <c r="H653" s="345"/>
      <c r="I653" s="345"/>
      <c r="K653" s="1"/>
      <c r="L653" s="1"/>
      <c r="M653" s="1"/>
      <c r="N653" s="1"/>
      <c r="O653" s="1"/>
      <c r="P653" s="1"/>
      <c r="Q653" s="1"/>
      <c r="R653" s="1"/>
      <c r="S653" s="1"/>
      <c r="T653" s="1"/>
      <c r="U653" s="1"/>
      <c r="V653" s="1"/>
    </row>
    <row r="654" ht="12.0" customHeight="1">
      <c r="A654" s="1"/>
      <c r="B654" s="130" t="s">
        <v>786</v>
      </c>
      <c r="C654" s="342" t="str">
        <f>"0x"&amp;DEC2HEX((HEX2DEC(E583)+HEX2DEC(E584)+HEX2DEC(E585)+HEX2DEC(E586)+HEX2DEC(E587))/65536,2)</f>
        <v>0x84</v>
      </c>
      <c r="D654" s="343" t="s">
        <v>787</v>
      </c>
      <c r="E654" s="24"/>
      <c r="F654" s="24"/>
      <c r="G654" s="24"/>
      <c r="H654" s="24"/>
      <c r="I654" s="10"/>
      <c r="K654" s="1"/>
      <c r="L654" s="1"/>
      <c r="M654" s="1"/>
      <c r="N654" s="1"/>
      <c r="O654" s="1"/>
      <c r="P654" s="1"/>
      <c r="Q654" s="1"/>
      <c r="R654" s="1"/>
      <c r="S654" s="1"/>
      <c r="T654" s="1"/>
      <c r="U654" s="1"/>
      <c r="V654" s="1"/>
    </row>
    <row r="655" ht="12.0" customHeight="1">
      <c r="A655" s="1"/>
      <c r="B655" s="130" t="s">
        <v>788</v>
      </c>
      <c r="C655" s="342" t="str">
        <f>"0x"&amp;DEC2HEX((HEX2DEC(E588)+HEX2DEC(E589)+HEX2DEC(E590)+HEX2DEC(E591)),2)</f>
        <v>0x00</v>
      </c>
      <c r="D655" s="343" t="s">
        <v>787</v>
      </c>
      <c r="E655" s="24"/>
      <c r="F655" s="24"/>
      <c r="G655" s="24"/>
      <c r="H655" s="24"/>
      <c r="I655" s="10"/>
      <c r="K655" s="1"/>
      <c r="L655" s="1"/>
      <c r="M655" s="1"/>
      <c r="N655" s="1"/>
      <c r="O655" s="1"/>
      <c r="P655" s="1"/>
      <c r="Q655" s="1"/>
      <c r="R655" s="1"/>
      <c r="S655" s="1"/>
      <c r="T655" s="1"/>
      <c r="U655" s="1"/>
      <c r="V655" s="1"/>
    </row>
    <row r="656" ht="12.0" customHeight="1">
      <c r="A656" s="1"/>
      <c r="B656" s="130" t="s">
        <v>789</v>
      </c>
      <c r="C656" s="342" t="str">
        <f>"0x"&amp;DEC2HEX((HEX2DEC(E605)+HEX2DEC(E606)+HEX2DEC(E607)+HEX2DEC(E608)+HEX2DEC(E609)+HEX2DEC(E610))/65536, 2)</f>
        <v>0x33</v>
      </c>
      <c r="D656" s="343" t="s">
        <v>758</v>
      </c>
      <c r="E656" s="24"/>
      <c r="F656" s="24"/>
      <c r="G656" s="24"/>
      <c r="H656" s="24"/>
      <c r="I656" s="10"/>
      <c r="K656" s="1"/>
      <c r="L656" s="1"/>
      <c r="M656" s="1"/>
      <c r="N656" s="1"/>
      <c r="O656" s="1"/>
      <c r="P656" s="1"/>
      <c r="Q656" s="1"/>
      <c r="R656" s="1"/>
      <c r="S656" s="1"/>
      <c r="T656" s="1"/>
      <c r="U656" s="1"/>
      <c r="V656" s="1"/>
    </row>
    <row r="657" ht="12.0" customHeight="1">
      <c r="A657" s="1"/>
      <c r="B657" s="130" t="s">
        <v>790</v>
      </c>
      <c r="C657" s="344" t="s">
        <v>760</v>
      </c>
      <c r="D657" s="343" t="s">
        <v>761</v>
      </c>
      <c r="E657" s="24"/>
      <c r="F657" s="24"/>
      <c r="G657" s="24"/>
      <c r="H657" s="24"/>
      <c r="I657" s="10"/>
      <c r="K657" s="1"/>
      <c r="L657" s="1"/>
      <c r="M657" s="1"/>
      <c r="N657" s="1"/>
      <c r="O657" s="1"/>
      <c r="P657" s="1"/>
      <c r="Q657" s="1"/>
      <c r="R657" s="1"/>
      <c r="S657" s="1"/>
      <c r="T657" s="1"/>
      <c r="U657" s="1"/>
      <c r="V657" s="1"/>
    </row>
    <row r="658" ht="12.0" customHeight="1">
      <c r="A658" s="1"/>
      <c r="B658" s="130" t="s">
        <v>791</v>
      </c>
      <c r="C658" s="342" t="str">
        <f>"0x"&amp;DEC2HEX((HEX2DEC(E593)+HEX2DEC(E594))/65536, 2)</f>
        <v>0x66</v>
      </c>
      <c r="D658" s="343" t="s">
        <v>763</v>
      </c>
      <c r="E658" s="24"/>
      <c r="F658" s="24"/>
      <c r="G658" s="24"/>
      <c r="H658" s="24"/>
      <c r="I658" s="10"/>
      <c r="K658" s="1"/>
      <c r="L658" s="1"/>
      <c r="M658" s="1"/>
      <c r="N658" s="1"/>
      <c r="O658" s="1"/>
      <c r="P658" s="1"/>
      <c r="Q658" s="1"/>
      <c r="R658" s="1"/>
      <c r="S658" s="1"/>
      <c r="T658" s="1"/>
      <c r="U658" s="1"/>
      <c r="V658" s="1"/>
    </row>
    <row r="659" ht="12.0" customHeight="1">
      <c r="A659" s="1"/>
      <c r="B659" s="130" t="s">
        <v>792</v>
      </c>
      <c r="C659" s="342" t="str">
        <f>"0x"&amp;DEC2HEX((HEX2DEC(E595)+HEX2DEC(E596)), 2)</f>
        <v>0x48</v>
      </c>
      <c r="D659" s="343" t="s">
        <v>763</v>
      </c>
      <c r="E659" s="24"/>
      <c r="F659" s="24"/>
      <c r="G659" s="24"/>
      <c r="H659" s="24"/>
      <c r="I659" s="10"/>
      <c r="K659" s="1"/>
      <c r="L659" s="1"/>
      <c r="M659" s="1"/>
      <c r="N659" s="1"/>
      <c r="O659" s="1"/>
      <c r="P659" s="1"/>
      <c r="Q659" s="1"/>
      <c r="R659" s="1"/>
      <c r="S659" s="1"/>
      <c r="T659" s="1"/>
      <c r="U659" s="1"/>
      <c r="V659" s="1"/>
    </row>
    <row r="660" ht="12.0" customHeight="1">
      <c r="A660" s="1"/>
      <c r="B660" s="130" t="s">
        <v>793</v>
      </c>
      <c r="C660" s="342" t="str">
        <f>"0x"&amp;DEC2HEX((HEX2DEC(E611)+HEX2DEC(E612)+HEX2DEC(E613)+HEX2DEC(E614)+HEX2DEC(E615)+HEX2DEC(E616)+HEX2DEC(E617)+HEX2DEC(E618) ), 2)</f>
        <v>0x00</v>
      </c>
      <c r="D660" s="343" t="s">
        <v>758</v>
      </c>
      <c r="E660" s="24"/>
      <c r="F660" s="24"/>
      <c r="G660" s="24"/>
      <c r="H660" s="24"/>
      <c r="I660" s="10"/>
      <c r="K660" s="1"/>
      <c r="L660" s="1"/>
      <c r="M660" s="1"/>
      <c r="N660" s="1"/>
      <c r="O660" s="1"/>
      <c r="P660" s="1"/>
      <c r="Q660" s="1"/>
      <c r="R660" s="1"/>
      <c r="S660" s="1"/>
      <c r="T660" s="1"/>
      <c r="U660" s="1"/>
      <c r="V660" s="1"/>
    </row>
    <row r="661" ht="12.0" customHeight="1">
      <c r="A661" s="1"/>
      <c r="B661" s="130" t="s">
        <v>794</v>
      </c>
      <c r="C661" s="342" t="str">
        <f>"0x"&amp;DEC2HEX((HEX2DEC(E602)+HEX2DEC(E603)), 2)</f>
        <v>0x48</v>
      </c>
      <c r="D661" s="343" t="s">
        <v>767</v>
      </c>
      <c r="E661" s="24"/>
      <c r="F661" s="24"/>
      <c r="G661" s="24"/>
      <c r="H661" s="24"/>
      <c r="I661" s="10"/>
      <c r="K661" s="1"/>
      <c r="L661" s="1"/>
      <c r="M661" s="1"/>
      <c r="N661" s="1"/>
      <c r="O661" s="1"/>
      <c r="P661" s="1"/>
      <c r="Q661" s="1"/>
      <c r="R661" s="1"/>
      <c r="S661" s="1"/>
      <c r="T661" s="1"/>
      <c r="U661" s="1"/>
      <c r="V661" s="1"/>
    </row>
    <row r="662" ht="12.0" customHeight="1">
      <c r="A662" s="1"/>
      <c r="B662" s="130" t="s">
        <v>795</v>
      </c>
      <c r="C662" s="344" t="s">
        <v>760</v>
      </c>
      <c r="D662" s="343" t="s">
        <v>761</v>
      </c>
      <c r="E662" s="24"/>
      <c r="F662" s="24"/>
      <c r="G662" s="24"/>
      <c r="H662" s="24"/>
      <c r="I662" s="10"/>
      <c r="K662" s="1"/>
      <c r="L662" s="1"/>
      <c r="M662" s="1"/>
      <c r="N662" s="1"/>
      <c r="O662" s="1"/>
      <c r="P662" s="1"/>
      <c r="Q662" s="1"/>
      <c r="R662" s="1"/>
      <c r="S662" s="1"/>
      <c r="T662" s="1"/>
      <c r="U662" s="1"/>
      <c r="V662" s="1"/>
    </row>
    <row r="663" ht="12.0" customHeight="1">
      <c r="A663" s="1"/>
      <c r="B663" s="130" t="s">
        <v>796</v>
      </c>
      <c r="C663" s="344" t="s">
        <v>760</v>
      </c>
      <c r="D663" s="343" t="s">
        <v>761</v>
      </c>
      <c r="E663" s="24"/>
      <c r="F663" s="24"/>
      <c r="G663" s="24"/>
      <c r="H663" s="24"/>
      <c r="I663" s="10"/>
      <c r="K663" s="1"/>
      <c r="L663" s="1"/>
      <c r="M663" s="1"/>
      <c r="N663" s="1"/>
      <c r="O663" s="1"/>
      <c r="P663" s="1"/>
      <c r="Q663" s="1"/>
      <c r="R663" s="1"/>
      <c r="S663" s="1"/>
      <c r="T663" s="1"/>
      <c r="U663" s="1"/>
      <c r="V663" s="1"/>
    </row>
    <row r="664" ht="12.0" customHeight="1">
      <c r="A664" s="1"/>
      <c r="B664" s="130" t="s">
        <v>797</v>
      </c>
      <c r="C664" s="342" t="str">
        <f>"0x"&amp;DEC2HEX((HEX2DEC(E598)+HEX2DEC(E599)+HEX2DEC(E600)+HEX2DEC(E601))/65536, 2)</f>
        <v>0x16</v>
      </c>
      <c r="D664" s="343" t="s">
        <v>767</v>
      </c>
      <c r="E664" s="24"/>
      <c r="F664" s="24"/>
      <c r="G664" s="24"/>
      <c r="H664" s="24"/>
      <c r="I664" s="10"/>
      <c r="K664" s="1"/>
      <c r="L664" s="1"/>
      <c r="M664" s="1"/>
      <c r="N664" s="1"/>
      <c r="O664" s="1"/>
      <c r="P664" s="1"/>
      <c r="Q664" s="1"/>
      <c r="R664" s="1"/>
      <c r="S664" s="1"/>
      <c r="T664" s="1"/>
      <c r="U664" s="1"/>
      <c r="V664" s="1"/>
    </row>
    <row r="665" ht="12.0" customHeight="1">
      <c r="A665" s="1"/>
      <c r="B665" s="130" t="s">
        <v>798</v>
      </c>
      <c r="C665" s="344" t="s">
        <v>760</v>
      </c>
      <c r="D665" s="343" t="s">
        <v>761</v>
      </c>
      <c r="E665" s="24"/>
      <c r="F665" s="24"/>
      <c r="G665" s="24"/>
      <c r="H665" s="24"/>
      <c r="I665" s="10"/>
      <c r="K665" s="1"/>
      <c r="L665" s="1"/>
      <c r="M665" s="1"/>
      <c r="N665" s="1"/>
      <c r="O665" s="1"/>
      <c r="P665" s="1"/>
      <c r="Q665" s="1"/>
      <c r="R665" s="1"/>
      <c r="S665" s="1"/>
      <c r="T665" s="1"/>
      <c r="U665" s="1"/>
      <c r="V665" s="1"/>
    </row>
    <row r="666" ht="12.0" customHeight="1">
      <c r="A666" s="1"/>
      <c r="B666" s="142"/>
      <c r="C666" s="330"/>
      <c r="D666" s="345"/>
      <c r="E666" s="345"/>
      <c r="F666" s="345"/>
      <c r="G666" s="345"/>
      <c r="H666" s="345"/>
      <c r="I666" s="345"/>
      <c r="K666" s="1"/>
      <c r="L666" s="1"/>
      <c r="M666" s="1"/>
      <c r="N666" s="1"/>
      <c r="O666" s="1"/>
      <c r="P666" s="1"/>
      <c r="Q666" s="1"/>
      <c r="R666" s="1"/>
      <c r="S666" s="1"/>
      <c r="T666" s="1"/>
      <c r="U666" s="1"/>
      <c r="V666" s="1"/>
    </row>
    <row r="667" ht="12.0" customHeight="1">
      <c r="A667" s="1"/>
      <c r="B667" s="130" t="s">
        <v>799</v>
      </c>
      <c r="C667" s="346">
        <v>24.0</v>
      </c>
      <c r="D667" s="343" t="s">
        <v>800</v>
      </c>
      <c r="E667" s="24"/>
      <c r="F667" s="24"/>
      <c r="G667" s="24"/>
      <c r="H667" s="24"/>
      <c r="I667" s="10"/>
      <c r="K667" s="1"/>
      <c r="L667" s="1"/>
      <c r="M667" s="1"/>
      <c r="N667" s="1"/>
      <c r="O667" s="1"/>
      <c r="P667" s="1"/>
      <c r="Q667" s="1"/>
      <c r="R667" s="1"/>
      <c r="S667" s="1"/>
      <c r="T667" s="1"/>
      <c r="U667" s="1"/>
      <c r="V667" s="1"/>
    </row>
    <row r="668" ht="26.25" customHeight="1">
      <c r="A668" s="1"/>
      <c r="B668" s="130" t="s">
        <v>801</v>
      </c>
      <c r="C668" s="346">
        <v>40.0</v>
      </c>
      <c r="D668" s="347" t="s">
        <v>802</v>
      </c>
      <c r="E668" s="24"/>
      <c r="F668" s="24"/>
      <c r="G668" s="24"/>
      <c r="H668" s="24"/>
      <c r="I668" s="10"/>
      <c r="K668" s="1"/>
      <c r="L668" s="1"/>
      <c r="M668" s="1"/>
      <c r="N668" s="1"/>
      <c r="O668" s="1"/>
      <c r="P668" s="1"/>
      <c r="Q668" s="1"/>
      <c r="R668" s="1"/>
      <c r="S668" s="1"/>
      <c r="T668" s="1"/>
      <c r="U668" s="1"/>
      <c r="V668" s="1"/>
    </row>
    <row r="669" ht="12.0" customHeight="1">
      <c r="A669" s="1"/>
      <c r="B669" s="130" t="s">
        <v>803</v>
      </c>
      <c r="C669" s="346">
        <v>34.0</v>
      </c>
      <c r="D669" s="343" t="s">
        <v>804</v>
      </c>
      <c r="E669" s="24"/>
      <c r="F669" s="24"/>
      <c r="G669" s="24"/>
      <c r="H669" s="24"/>
      <c r="I669" s="10"/>
      <c r="K669" s="1"/>
      <c r="L669" s="1"/>
      <c r="M669" s="1"/>
      <c r="N669" s="1"/>
      <c r="O669" s="1"/>
      <c r="P669" s="1"/>
      <c r="Q669" s="1"/>
      <c r="R669" s="1"/>
      <c r="S669" s="1"/>
      <c r="T669" s="1"/>
      <c r="U669" s="1"/>
      <c r="V669" s="1"/>
    </row>
    <row r="670" ht="12.0" customHeight="1">
      <c r="A670" s="1"/>
      <c r="C670" s="160"/>
      <c r="E670" s="160"/>
      <c r="G670" s="160"/>
      <c r="H670" s="160"/>
      <c r="I670" s="160"/>
      <c r="K670" s="1"/>
      <c r="L670" s="1"/>
      <c r="M670" s="1"/>
      <c r="N670" s="1"/>
      <c r="O670" s="1"/>
      <c r="P670" s="1"/>
      <c r="Q670" s="1"/>
      <c r="R670" s="1"/>
      <c r="S670" s="1"/>
      <c r="T670" s="1"/>
      <c r="U670" s="1"/>
      <c r="V670" s="1"/>
    </row>
    <row r="671" ht="27.0" customHeight="1">
      <c r="A671" s="1"/>
      <c r="B671" s="130" t="s">
        <v>805</v>
      </c>
      <c r="C671" s="219" t="s">
        <v>760</v>
      </c>
      <c r="D671" s="347" t="s">
        <v>806</v>
      </c>
      <c r="E671" s="24"/>
      <c r="F671" s="24"/>
      <c r="G671" s="24"/>
      <c r="H671" s="24"/>
      <c r="I671" s="10"/>
      <c r="K671" s="1"/>
      <c r="L671" s="1"/>
      <c r="M671" s="1"/>
      <c r="N671" s="1"/>
      <c r="O671" s="1"/>
      <c r="P671" s="1"/>
      <c r="Q671" s="1"/>
      <c r="R671" s="1"/>
      <c r="S671" s="1"/>
      <c r="T671" s="1"/>
      <c r="U671" s="1"/>
      <c r="V671" s="1"/>
    </row>
    <row r="672" ht="27.0" customHeight="1">
      <c r="A672" s="1"/>
      <c r="B672" s="130" t="s">
        <v>807</v>
      </c>
      <c r="C672" s="176" t="str">
        <f>IF(D304=1, "0x01", "0x00")</f>
        <v>0x00</v>
      </c>
      <c r="D672" s="347" t="s">
        <v>808</v>
      </c>
      <c r="E672" s="24"/>
      <c r="F672" s="24"/>
      <c r="G672" s="24"/>
      <c r="H672" s="24"/>
      <c r="I672" s="10"/>
      <c r="K672" s="1"/>
      <c r="L672" s="1"/>
      <c r="M672" s="1"/>
      <c r="N672" s="1"/>
      <c r="O672" s="1"/>
      <c r="P672" s="1"/>
      <c r="Q672" s="1"/>
      <c r="R672" s="1"/>
      <c r="S672" s="1"/>
      <c r="T672" s="1"/>
      <c r="U672" s="1"/>
      <c r="V672" s="1"/>
    </row>
    <row r="673" ht="27.0" customHeight="1">
      <c r="A673" s="1"/>
      <c r="B673" s="130" t="s">
        <v>809</v>
      </c>
      <c r="C673" s="219" t="s">
        <v>760</v>
      </c>
      <c r="D673" s="347" t="s">
        <v>810</v>
      </c>
      <c r="E673" s="24"/>
      <c r="F673" s="24"/>
      <c r="G673" s="24"/>
      <c r="H673" s="24"/>
      <c r="I673" s="10"/>
      <c r="K673" s="1"/>
      <c r="L673" s="1"/>
      <c r="M673" s="1"/>
      <c r="N673" s="1"/>
      <c r="O673" s="1"/>
      <c r="P673" s="1"/>
      <c r="Q673" s="1"/>
      <c r="R673" s="1"/>
      <c r="S673" s="1"/>
      <c r="T673" s="1"/>
      <c r="U673" s="1"/>
      <c r="V673" s="1"/>
    </row>
    <row r="674" ht="28.5" customHeight="1">
      <c r="A674" s="1"/>
      <c r="B674" s="130" t="s">
        <v>811</v>
      </c>
      <c r="C674" s="130" t="s">
        <v>812</v>
      </c>
      <c r="D674" s="347" t="s">
        <v>813</v>
      </c>
      <c r="E674" s="24"/>
      <c r="F674" s="24"/>
      <c r="G674" s="24"/>
      <c r="H674" s="24"/>
      <c r="I674" s="10"/>
      <c r="K674" s="1"/>
      <c r="L674" s="1"/>
      <c r="M674" s="1"/>
      <c r="N674" s="1"/>
      <c r="O674" s="1"/>
      <c r="P674" s="1"/>
      <c r="Q674" s="1"/>
      <c r="R674" s="1"/>
      <c r="S674" s="1"/>
      <c r="T674" s="1"/>
      <c r="U674" s="1"/>
      <c r="V674" s="1"/>
    </row>
    <row r="675" ht="12.0" customHeight="1">
      <c r="A675" s="1"/>
      <c r="B675" s="142"/>
      <c r="C675" s="160"/>
      <c r="E675" s="160"/>
      <c r="G675" s="160"/>
      <c r="H675" s="160"/>
      <c r="I675" s="160"/>
      <c r="K675" s="1"/>
      <c r="L675" s="1"/>
      <c r="M675" s="1"/>
      <c r="N675" s="1"/>
      <c r="O675" s="1"/>
      <c r="P675" s="1"/>
      <c r="Q675" s="1"/>
      <c r="R675" s="1"/>
      <c r="S675" s="1"/>
      <c r="T675" s="1"/>
      <c r="U675" s="1"/>
      <c r="V675" s="1"/>
    </row>
    <row r="676" ht="12.0" customHeight="1">
      <c r="A676" s="1"/>
      <c r="B676" s="130" t="s">
        <v>814</v>
      </c>
      <c r="C676" s="130" t="s">
        <v>815</v>
      </c>
      <c r="D676" s="343" t="s">
        <v>816</v>
      </c>
      <c r="E676" s="24"/>
      <c r="F676" s="24"/>
      <c r="G676" s="24"/>
      <c r="H676" s="24"/>
      <c r="I676" s="10"/>
      <c r="K676" s="1"/>
      <c r="L676" s="1"/>
      <c r="M676" s="1"/>
      <c r="N676" s="1"/>
      <c r="O676" s="1"/>
      <c r="P676" s="1"/>
      <c r="Q676" s="1"/>
      <c r="R676" s="1"/>
      <c r="S676" s="1"/>
      <c r="T676" s="1"/>
      <c r="U676" s="1"/>
      <c r="V676" s="1"/>
    </row>
    <row r="677" ht="12.0" customHeight="1">
      <c r="A677" s="1"/>
      <c r="B677" s="130" t="s">
        <v>817</v>
      </c>
      <c r="C677" s="130" t="s">
        <v>815</v>
      </c>
      <c r="D677" s="343" t="s">
        <v>818</v>
      </c>
      <c r="E677" s="24"/>
      <c r="F677" s="24"/>
      <c r="G677" s="24"/>
      <c r="H677" s="24"/>
      <c r="I677" s="10"/>
      <c r="K677" s="1"/>
      <c r="L677" s="1"/>
      <c r="M677" s="1"/>
      <c r="N677" s="1"/>
      <c r="O677" s="1"/>
      <c r="P677" s="1"/>
      <c r="Q677" s="1"/>
      <c r="R677" s="1"/>
      <c r="S677" s="1"/>
      <c r="T677" s="1"/>
      <c r="U677" s="1"/>
      <c r="V677" s="1"/>
    </row>
    <row r="678" ht="12.0" customHeight="1">
      <c r="A678" s="1"/>
      <c r="B678" s="130" t="s">
        <v>819</v>
      </c>
      <c r="C678" s="130" t="s">
        <v>815</v>
      </c>
      <c r="D678" s="343" t="s">
        <v>820</v>
      </c>
      <c r="E678" s="24"/>
      <c r="F678" s="24"/>
      <c r="G678" s="24"/>
      <c r="H678" s="24"/>
      <c r="I678" s="10"/>
      <c r="K678" s="1"/>
      <c r="L678" s="1"/>
      <c r="M678" s="1"/>
      <c r="N678" s="1"/>
      <c r="O678" s="1"/>
      <c r="P678" s="1"/>
      <c r="Q678" s="1"/>
      <c r="R678" s="1"/>
      <c r="S678" s="1"/>
      <c r="T678" s="1"/>
      <c r="U678" s="1"/>
      <c r="V678" s="1"/>
    </row>
    <row r="679" ht="12.0" customHeight="1">
      <c r="A679" s="1"/>
      <c r="B679" s="130" t="s">
        <v>821</v>
      </c>
      <c r="C679" s="130" t="s">
        <v>815</v>
      </c>
      <c r="D679" s="343" t="s">
        <v>822</v>
      </c>
      <c r="E679" s="24"/>
      <c r="F679" s="24"/>
      <c r="G679" s="24"/>
      <c r="H679" s="24"/>
      <c r="I679" s="10"/>
      <c r="K679" s="1"/>
      <c r="L679" s="1"/>
      <c r="M679" s="1"/>
      <c r="N679" s="1"/>
      <c r="O679" s="1"/>
      <c r="P679" s="1"/>
      <c r="Q679" s="1"/>
      <c r="R679" s="1"/>
      <c r="S679" s="1"/>
      <c r="T679" s="1"/>
      <c r="U679" s="1"/>
      <c r="V679" s="1"/>
    </row>
    <row r="680" ht="12.0" customHeight="1">
      <c r="A680" s="1"/>
      <c r="E680" s="160"/>
      <c r="G680" s="160"/>
      <c r="H680" s="160"/>
      <c r="I680" s="160"/>
      <c r="K680" s="1"/>
      <c r="L680" s="1"/>
      <c r="M680" s="1"/>
      <c r="N680" s="1"/>
      <c r="O680" s="1"/>
      <c r="P680" s="1"/>
      <c r="Q680" s="1"/>
      <c r="R680" s="1"/>
      <c r="S680" s="1"/>
      <c r="T680" s="1"/>
      <c r="U680" s="1"/>
      <c r="V680" s="1"/>
    </row>
    <row r="681" ht="12.0" customHeight="1">
      <c r="A681" s="1"/>
      <c r="B681" s="130" t="s">
        <v>823</v>
      </c>
      <c r="C681" s="130" t="s">
        <v>824</v>
      </c>
      <c r="D681" s="343" t="s">
        <v>825</v>
      </c>
      <c r="E681" s="24"/>
      <c r="F681" s="24"/>
      <c r="G681" s="24"/>
      <c r="H681" s="24"/>
      <c r="I681" s="10"/>
      <c r="K681" s="1"/>
      <c r="L681" s="1"/>
      <c r="M681" s="1"/>
      <c r="N681" s="1"/>
      <c r="O681" s="1"/>
      <c r="P681" s="1"/>
      <c r="Q681" s="1"/>
      <c r="R681" s="1"/>
      <c r="S681" s="1"/>
      <c r="T681" s="1"/>
      <c r="U681" s="1"/>
      <c r="V681" s="1"/>
    </row>
    <row r="682" ht="27.75" customHeight="1">
      <c r="A682" s="1"/>
      <c r="B682" s="130" t="s">
        <v>826</v>
      </c>
      <c r="C682" s="130" t="s">
        <v>760</v>
      </c>
      <c r="D682" s="347" t="s">
        <v>827</v>
      </c>
      <c r="E682" s="24"/>
      <c r="F682" s="24"/>
      <c r="G682" s="24"/>
      <c r="H682" s="24"/>
      <c r="I682" s="10"/>
      <c r="K682" s="1"/>
      <c r="L682" s="1"/>
      <c r="M682" s="1"/>
      <c r="N682" s="1"/>
      <c r="O682" s="1"/>
      <c r="P682" s="1"/>
      <c r="Q682" s="1"/>
      <c r="R682" s="1"/>
      <c r="S682" s="1"/>
      <c r="T682" s="1"/>
      <c r="U682" s="1"/>
      <c r="V682" s="1"/>
    </row>
    <row r="683" ht="12.0" customHeight="1">
      <c r="A683" s="1"/>
      <c r="E683" s="160"/>
      <c r="G683" s="160"/>
      <c r="H683" s="160"/>
      <c r="I683" s="160"/>
      <c r="K683" s="1"/>
      <c r="L683" s="1"/>
      <c r="M683" s="1"/>
      <c r="N683" s="1"/>
      <c r="O683" s="1"/>
      <c r="P683" s="1"/>
      <c r="Q683" s="1"/>
      <c r="R683" s="1"/>
      <c r="S683" s="1"/>
      <c r="T683" s="1"/>
      <c r="U683" s="1"/>
      <c r="V683" s="1"/>
    </row>
    <row r="684" ht="12.0" customHeight="1">
      <c r="A684" s="1"/>
      <c r="B684" s="130" t="s">
        <v>828</v>
      </c>
      <c r="C684" s="279" t="s">
        <v>829</v>
      </c>
      <c r="D684" s="347" t="s">
        <v>830</v>
      </c>
      <c r="E684" s="24"/>
      <c r="F684" s="24"/>
      <c r="G684" s="24"/>
      <c r="H684" s="24"/>
      <c r="I684" s="10"/>
      <c r="K684" s="1"/>
      <c r="L684" s="1"/>
      <c r="M684" s="1"/>
      <c r="N684" s="1"/>
      <c r="O684" s="1"/>
      <c r="P684" s="1"/>
      <c r="Q684" s="1"/>
      <c r="R684" s="1"/>
      <c r="S684" s="1"/>
      <c r="T684" s="1"/>
      <c r="U684" s="1"/>
      <c r="V684" s="1"/>
    </row>
    <row r="685" ht="12.0" customHeight="1">
      <c r="A685" s="1"/>
      <c r="E685" s="160"/>
      <c r="G685" s="160"/>
      <c r="H685" s="160"/>
      <c r="I685" s="160"/>
      <c r="K685" s="1"/>
      <c r="L685" s="1"/>
      <c r="M685" s="1"/>
      <c r="N685" s="1"/>
      <c r="O685" s="1"/>
      <c r="P685" s="1"/>
      <c r="Q685" s="1"/>
      <c r="R685" s="1"/>
      <c r="S685" s="1"/>
      <c r="T685" s="1"/>
      <c r="U685" s="1"/>
      <c r="V685" s="1"/>
    </row>
    <row r="686" ht="12.0" customHeight="1">
      <c r="A686" s="1"/>
      <c r="B686" s="130" t="s">
        <v>831</v>
      </c>
      <c r="C686" s="176" t="str">
        <f>IF(C22=2, "0x3", "0x1")</f>
        <v>0x1</v>
      </c>
      <c r="D686" s="347" t="s">
        <v>832</v>
      </c>
      <c r="E686" s="24"/>
      <c r="F686" s="24"/>
      <c r="G686" s="24"/>
      <c r="H686" s="24"/>
      <c r="I686" s="10"/>
      <c r="K686" s="1"/>
      <c r="L686" s="1"/>
      <c r="M686" s="1"/>
      <c r="N686" s="1"/>
      <c r="O686" s="1"/>
      <c r="P686" s="1"/>
      <c r="Q686" s="1"/>
      <c r="R686" s="1"/>
      <c r="S686" s="1"/>
      <c r="T686" s="1"/>
      <c r="U686" s="1"/>
      <c r="V686" s="1"/>
    </row>
    <row r="687" ht="12.0" customHeight="1">
      <c r="A687" s="1"/>
      <c r="E687" s="160"/>
      <c r="G687" s="160"/>
      <c r="H687" s="160"/>
      <c r="I687" s="160"/>
      <c r="K687" s="1"/>
      <c r="L687" s="1"/>
      <c r="M687" s="1"/>
      <c r="N687" s="1"/>
      <c r="O687" s="1"/>
      <c r="P687" s="1"/>
      <c r="Q687" s="1"/>
      <c r="R687" s="1"/>
      <c r="S687" s="1"/>
      <c r="T687" s="1"/>
      <c r="U687" s="1"/>
      <c r="V687" s="1"/>
    </row>
    <row r="688" ht="12.0" customHeight="1">
      <c r="A688" s="1"/>
      <c r="B688" s="130" t="s">
        <v>833</v>
      </c>
      <c r="C688" s="176">
        <f>C28</f>
        <v>32</v>
      </c>
      <c r="D688" s="347" t="s">
        <v>834</v>
      </c>
      <c r="E688" s="24"/>
      <c r="F688" s="24"/>
      <c r="G688" s="24"/>
      <c r="H688" s="24"/>
      <c r="I688" s="10"/>
      <c r="K688" s="1"/>
      <c r="L688" s="1"/>
      <c r="M688" s="1"/>
      <c r="N688" s="1"/>
      <c r="O688" s="1"/>
      <c r="P688" s="1"/>
      <c r="Q688" s="1"/>
      <c r="R688" s="1"/>
      <c r="S688" s="1"/>
      <c r="T688" s="1"/>
      <c r="U688" s="1"/>
      <c r="V688" s="1"/>
    </row>
  </sheetData>
  <mergeCells count="409">
    <mergeCell ref="C37:D37"/>
    <mergeCell ref="C38:D38"/>
    <mergeCell ref="B39:E39"/>
    <mergeCell ref="B40:E40"/>
    <mergeCell ref="B41:D41"/>
    <mergeCell ref="G45:G57"/>
    <mergeCell ref="H45:H57"/>
    <mergeCell ref="I45:I57"/>
    <mergeCell ref="B61:I61"/>
    <mergeCell ref="G62:G63"/>
    <mergeCell ref="H62:H63"/>
    <mergeCell ref="I62:I63"/>
    <mergeCell ref="H65:H67"/>
    <mergeCell ref="I65:I67"/>
    <mergeCell ref="F9:F10"/>
    <mergeCell ref="F13:F14"/>
    <mergeCell ref="H16:H26"/>
    <mergeCell ref="I16:I26"/>
    <mergeCell ref="J16:J26"/>
    <mergeCell ref="K16:L26"/>
    <mergeCell ref="F26:G26"/>
    <mergeCell ref="K27:L27"/>
    <mergeCell ref="C4:F4"/>
    <mergeCell ref="G4:J4"/>
    <mergeCell ref="B5:J5"/>
    <mergeCell ref="F7:F8"/>
    <mergeCell ref="G7:G8"/>
    <mergeCell ref="G9:G10"/>
    <mergeCell ref="G13:G14"/>
    <mergeCell ref="B7:E14"/>
    <mergeCell ref="C17:D17"/>
    <mergeCell ref="C18:D18"/>
    <mergeCell ref="C19:D19"/>
    <mergeCell ref="C20:D20"/>
    <mergeCell ref="C21:D21"/>
    <mergeCell ref="C22:D22"/>
    <mergeCell ref="C23:D23"/>
    <mergeCell ref="C24:D24"/>
    <mergeCell ref="C25:D25"/>
    <mergeCell ref="C26:D26"/>
    <mergeCell ref="C27:D27"/>
    <mergeCell ref="C28:D28"/>
    <mergeCell ref="C29:D29"/>
    <mergeCell ref="C35:D35"/>
    <mergeCell ref="C36:D36"/>
    <mergeCell ref="C30:D30"/>
    <mergeCell ref="F30:F31"/>
    <mergeCell ref="G30:K39"/>
    <mergeCell ref="C31:D31"/>
    <mergeCell ref="C32:D32"/>
    <mergeCell ref="C33:D33"/>
    <mergeCell ref="C34:D34"/>
    <mergeCell ref="G40:K40"/>
    <mergeCell ref="G65:G67"/>
    <mergeCell ref="G69:G72"/>
    <mergeCell ref="H69:H72"/>
    <mergeCell ref="I69:I72"/>
    <mergeCell ref="G75:G76"/>
    <mergeCell ref="H75:H76"/>
    <mergeCell ref="I75:I76"/>
    <mergeCell ref="H89:H90"/>
    <mergeCell ref="I89:I90"/>
    <mergeCell ref="G78:G81"/>
    <mergeCell ref="H78:H81"/>
    <mergeCell ref="I78:I81"/>
    <mergeCell ref="G83:G87"/>
    <mergeCell ref="H83:H87"/>
    <mergeCell ref="I83:I87"/>
    <mergeCell ref="G89:G90"/>
    <mergeCell ref="G94:G97"/>
    <mergeCell ref="H94:H97"/>
    <mergeCell ref="I94:I97"/>
    <mergeCell ref="J94:J97"/>
    <mergeCell ref="H99:H100"/>
    <mergeCell ref="I99:I100"/>
    <mergeCell ref="B102:I102"/>
    <mergeCell ref="I107:I108"/>
    <mergeCell ref="J107:K107"/>
    <mergeCell ref="B111:I111"/>
    <mergeCell ref="G99:G100"/>
    <mergeCell ref="G103:G105"/>
    <mergeCell ref="H103:H105"/>
    <mergeCell ref="I103:I105"/>
    <mergeCell ref="J105:K105"/>
    <mergeCell ref="G107:G108"/>
    <mergeCell ref="H107:H108"/>
    <mergeCell ref="H121:H123"/>
    <mergeCell ref="I121:I123"/>
    <mergeCell ref="G112:G114"/>
    <mergeCell ref="H112:H114"/>
    <mergeCell ref="I112:I114"/>
    <mergeCell ref="G116:G119"/>
    <mergeCell ref="H116:H119"/>
    <mergeCell ref="I116:I119"/>
    <mergeCell ref="G121:G123"/>
    <mergeCell ref="H136:H139"/>
    <mergeCell ref="I136:I139"/>
    <mergeCell ref="G127:G130"/>
    <mergeCell ref="H127:H130"/>
    <mergeCell ref="I127:I130"/>
    <mergeCell ref="G132:G134"/>
    <mergeCell ref="H132:H134"/>
    <mergeCell ref="I132:I134"/>
    <mergeCell ref="G136:G139"/>
    <mergeCell ref="G141:G144"/>
    <mergeCell ref="H141:H144"/>
    <mergeCell ref="I141:I144"/>
    <mergeCell ref="B146:I146"/>
    <mergeCell ref="H147:H149"/>
    <mergeCell ref="I147:I149"/>
    <mergeCell ref="B151:I151"/>
    <mergeCell ref="G147:G149"/>
    <mergeCell ref="G152:G153"/>
    <mergeCell ref="H152:H153"/>
    <mergeCell ref="I152:I153"/>
    <mergeCell ref="G155:G157"/>
    <mergeCell ref="H155:H157"/>
    <mergeCell ref="I155:I157"/>
    <mergeCell ref="H168:H173"/>
    <mergeCell ref="I168:I173"/>
    <mergeCell ref="B175:I175"/>
    <mergeCell ref="G176:G177"/>
    <mergeCell ref="H176:H177"/>
    <mergeCell ref="I176:I177"/>
    <mergeCell ref="G179:G184"/>
    <mergeCell ref="H179:H184"/>
    <mergeCell ref="I179:I184"/>
    <mergeCell ref="B188:I188"/>
    <mergeCell ref="B204:I204"/>
    <mergeCell ref="B206:D206"/>
    <mergeCell ref="B269:I269"/>
    <mergeCell ref="H285:H286"/>
    <mergeCell ref="I285:I286"/>
    <mergeCell ref="K289:K291"/>
    <mergeCell ref="G272:G277"/>
    <mergeCell ref="H272:H277"/>
    <mergeCell ref="I272:I277"/>
    <mergeCell ref="G279:G283"/>
    <mergeCell ref="H279:H283"/>
    <mergeCell ref="I279:I283"/>
    <mergeCell ref="G285:G286"/>
    <mergeCell ref="G159:G161"/>
    <mergeCell ref="H159:H161"/>
    <mergeCell ref="I159:I161"/>
    <mergeCell ref="G165:G166"/>
    <mergeCell ref="H165:H166"/>
    <mergeCell ref="I165:I166"/>
    <mergeCell ref="G168:G173"/>
    <mergeCell ref="G189:G192"/>
    <mergeCell ref="H189:H192"/>
    <mergeCell ref="I189:I192"/>
    <mergeCell ref="J189:J192"/>
    <mergeCell ref="G194:G202"/>
    <mergeCell ref="H194:H202"/>
    <mergeCell ref="I194:I202"/>
    <mergeCell ref="H236:H239"/>
    <mergeCell ref="I236:I239"/>
    <mergeCell ref="G209:G217"/>
    <mergeCell ref="H209:H217"/>
    <mergeCell ref="I209:I217"/>
    <mergeCell ref="G221:G234"/>
    <mergeCell ref="H221:H234"/>
    <mergeCell ref="I221:I234"/>
    <mergeCell ref="G236:G239"/>
    <mergeCell ref="H260:H266"/>
    <mergeCell ref="I260:I266"/>
    <mergeCell ref="G241:G246"/>
    <mergeCell ref="H241:H246"/>
    <mergeCell ref="I241:I246"/>
    <mergeCell ref="G248:G258"/>
    <mergeCell ref="H248:H258"/>
    <mergeCell ref="I248:I258"/>
    <mergeCell ref="G260:G266"/>
    <mergeCell ref="G288:G291"/>
    <mergeCell ref="H288:H291"/>
    <mergeCell ref="I288:I291"/>
    <mergeCell ref="J289:J291"/>
    <mergeCell ref="G293:G297"/>
    <mergeCell ref="H293:H297"/>
    <mergeCell ref="I293:I297"/>
    <mergeCell ref="H373:H376"/>
    <mergeCell ref="I373:I376"/>
    <mergeCell ref="G364:G367"/>
    <mergeCell ref="H364:H367"/>
    <mergeCell ref="I364:I367"/>
    <mergeCell ref="G369:G371"/>
    <mergeCell ref="H369:H371"/>
    <mergeCell ref="I369:I371"/>
    <mergeCell ref="G373:G376"/>
    <mergeCell ref="H440:H444"/>
    <mergeCell ref="I440:I444"/>
    <mergeCell ref="G426:G431"/>
    <mergeCell ref="H426:H431"/>
    <mergeCell ref="I426:I431"/>
    <mergeCell ref="G433:G438"/>
    <mergeCell ref="H433:H438"/>
    <mergeCell ref="I433:I438"/>
    <mergeCell ref="G440:G444"/>
    <mergeCell ref="H540:H541"/>
    <mergeCell ref="I540:I541"/>
    <mergeCell ref="G530:G532"/>
    <mergeCell ref="H530:H532"/>
    <mergeCell ref="I530:I532"/>
    <mergeCell ref="G534:G536"/>
    <mergeCell ref="H534:H536"/>
    <mergeCell ref="I534:I536"/>
    <mergeCell ref="G540:G541"/>
    <mergeCell ref="H557:H562"/>
    <mergeCell ref="I557:I562"/>
    <mergeCell ref="G543:G548"/>
    <mergeCell ref="H543:H548"/>
    <mergeCell ref="I543:I548"/>
    <mergeCell ref="G552:G555"/>
    <mergeCell ref="H552:H555"/>
    <mergeCell ref="I552:I555"/>
    <mergeCell ref="G557:G562"/>
    <mergeCell ref="H577:H578"/>
    <mergeCell ref="I577:I578"/>
    <mergeCell ref="G564:G569"/>
    <mergeCell ref="H564:H569"/>
    <mergeCell ref="I564:I569"/>
    <mergeCell ref="G571:G575"/>
    <mergeCell ref="H571:H575"/>
    <mergeCell ref="I571:I575"/>
    <mergeCell ref="G577:G578"/>
    <mergeCell ref="H593:H596"/>
    <mergeCell ref="I593:I596"/>
    <mergeCell ref="G580:G581"/>
    <mergeCell ref="H580:H581"/>
    <mergeCell ref="I580:I581"/>
    <mergeCell ref="G583:G591"/>
    <mergeCell ref="H583:H591"/>
    <mergeCell ref="I583:I591"/>
    <mergeCell ref="G593:G596"/>
    <mergeCell ref="H387:H390"/>
    <mergeCell ref="I387:I390"/>
    <mergeCell ref="G378:G380"/>
    <mergeCell ref="H378:H380"/>
    <mergeCell ref="I378:I380"/>
    <mergeCell ref="G382:G385"/>
    <mergeCell ref="H382:H385"/>
    <mergeCell ref="I382:I385"/>
    <mergeCell ref="G387:G390"/>
    <mergeCell ref="H403:H405"/>
    <mergeCell ref="I403:I405"/>
    <mergeCell ref="G396:G397"/>
    <mergeCell ref="H396:H397"/>
    <mergeCell ref="I396:I397"/>
    <mergeCell ref="G399:G401"/>
    <mergeCell ref="H399:H401"/>
    <mergeCell ref="I399:I401"/>
    <mergeCell ref="G403:G405"/>
    <mergeCell ref="H421:H424"/>
    <mergeCell ref="I421:I424"/>
    <mergeCell ref="G409:G410"/>
    <mergeCell ref="H409:H410"/>
    <mergeCell ref="I409:I410"/>
    <mergeCell ref="G412:G417"/>
    <mergeCell ref="H412:H417"/>
    <mergeCell ref="I412:I417"/>
    <mergeCell ref="G421:G424"/>
    <mergeCell ref="H620:H622"/>
    <mergeCell ref="I620:I622"/>
    <mergeCell ref="G598:G603"/>
    <mergeCell ref="H598:H603"/>
    <mergeCell ref="I598:I603"/>
    <mergeCell ref="G605:G618"/>
    <mergeCell ref="H605:H618"/>
    <mergeCell ref="I605:I618"/>
    <mergeCell ref="G620:G622"/>
    <mergeCell ref="G328:G330"/>
    <mergeCell ref="H328:H330"/>
    <mergeCell ref="I328:I330"/>
    <mergeCell ref="G332:G337"/>
    <mergeCell ref="H332:H337"/>
    <mergeCell ref="I332:I337"/>
    <mergeCell ref="G340:G343"/>
    <mergeCell ref="G345:G349"/>
    <mergeCell ref="H345:H349"/>
    <mergeCell ref="I345:I349"/>
    <mergeCell ref="G351:G352"/>
    <mergeCell ref="H351:H352"/>
    <mergeCell ref="I351:I352"/>
    <mergeCell ref="G354:G357"/>
    <mergeCell ref="H310:H315"/>
    <mergeCell ref="I310:I315"/>
    <mergeCell ref="G299:G300"/>
    <mergeCell ref="H299:H300"/>
    <mergeCell ref="I299:I300"/>
    <mergeCell ref="G304:G306"/>
    <mergeCell ref="H304:H306"/>
    <mergeCell ref="I304:I306"/>
    <mergeCell ref="G310:G315"/>
    <mergeCell ref="H325:H326"/>
    <mergeCell ref="I325:I326"/>
    <mergeCell ref="G319:G320"/>
    <mergeCell ref="H319:H320"/>
    <mergeCell ref="I319:I320"/>
    <mergeCell ref="G322:G323"/>
    <mergeCell ref="H322:H323"/>
    <mergeCell ref="I322:I323"/>
    <mergeCell ref="G325:G326"/>
    <mergeCell ref="H340:H343"/>
    <mergeCell ref="I340:I343"/>
    <mergeCell ref="H354:H357"/>
    <mergeCell ref="I354:I357"/>
    <mergeCell ref="B362:I362"/>
    <mergeCell ref="G392:G394"/>
    <mergeCell ref="H392:H394"/>
    <mergeCell ref="I392:I394"/>
    <mergeCell ref="H452:H460"/>
    <mergeCell ref="I452:I460"/>
    <mergeCell ref="G446:G447"/>
    <mergeCell ref="H446:H447"/>
    <mergeCell ref="I446:I447"/>
    <mergeCell ref="G449:G450"/>
    <mergeCell ref="H449:H450"/>
    <mergeCell ref="I449:I450"/>
    <mergeCell ref="G452:G460"/>
    <mergeCell ref="H474:H487"/>
    <mergeCell ref="I474:I487"/>
    <mergeCell ref="B494:I494"/>
    <mergeCell ref="G462:G465"/>
    <mergeCell ref="H462:H465"/>
    <mergeCell ref="I462:I465"/>
    <mergeCell ref="G467:G472"/>
    <mergeCell ref="H467:H472"/>
    <mergeCell ref="I467:I472"/>
    <mergeCell ref="G474:G487"/>
    <mergeCell ref="H500:H502"/>
    <mergeCell ref="I500:I502"/>
    <mergeCell ref="G489:G491"/>
    <mergeCell ref="H489:H491"/>
    <mergeCell ref="I489:I491"/>
    <mergeCell ref="G495:G498"/>
    <mergeCell ref="H495:H498"/>
    <mergeCell ref="I495:I498"/>
    <mergeCell ref="G500:G502"/>
    <mergeCell ref="H513:H516"/>
    <mergeCell ref="I513:I516"/>
    <mergeCell ref="G504:G507"/>
    <mergeCell ref="H504:H507"/>
    <mergeCell ref="I504:I507"/>
    <mergeCell ref="G509:G511"/>
    <mergeCell ref="H509:H511"/>
    <mergeCell ref="I509:I511"/>
    <mergeCell ref="G513:G516"/>
    <mergeCell ref="D679:I679"/>
    <mergeCell ref="D681:I681"/>
    <mergeCell ref="D682:I682"/>
    <mergeCell ref="D684:I684"/>
    <mergeCell ref="D686:I686"/>
    <mergeCell ref="D688:I688"/>
    <mergeCell ref="D671:I671"/>
    <mergeCell ref="D672:I672"/>
    <mergeCell ref="D673:I673"/>
    <mergeCell ref="D674:I674"/>
    <mergeCell ref="D676:I676"/>
    <mergeCell ref="D677:I677"/>
    <mergeCell ref="D678:I678"/>
    <mergeCell ref="G518:G521"/>
    <mergeCell ref="H518:H521"/>
    <mergeCell ref="I518:I521"/>
    <mergeCell ref="G523:G525"/>
    <mergeCell ref="H523:H525"/>
    <mergeCell ref="I523:I525"/>
    <mergeCell ref="G527:G528"/>
    <mergeCell ref="H527:H528"/>
    <mergeCell ref="I527:I528"/>
    <mergeCell ref="B626:I626"/>
    <mergeCell ref="D628:I628"/>
    <mergeCell ref="D629:I629"/>
    <mergeCell ref="D630:I630"/>
    <mergeCell ref="D631:I631"/>
    <mergeCell ref="D632:I632"/>
    <mergeCell ref="D633:I633"/>
    <mergeCell ref="D634:I634"/>
    <mergeCell ref="D635:I635"/>
    <mergeCell ref="D636:I636"/>
    <mergeCell ref="D637:I637"/>
    <mergeCell ref="D638:I638"/>
    <mergeCell ref="D639:I639"/>
    <mergeCell ref="D641:I641"/>
    <mergeCell ref="D642:I642"/>
    <mergeCell ref="D643:I643"/>
    <mergeCell ref="D644:I644"/>
    <mergeCell ref="D645:I645"/>
    <mergeCell ref="D646:I646"/>
    <mergeCell ref="D647:I647"/>
    <mergeCell ref="D648:I648"/>
    <mergeCell ref="D649:I649"/>
    <mergeCell ref="D650:I650"/>
    <mergeCell ref="D651:I651"/>
    <mergeCell ref="D652:I652"/>
    <mergeCell ref="D654:I654"/>
    <mergeCell ref="D655:I655"/>
    <mergeCell ref="D656:I656"/>
    <mergeCell ref="D657:I657"/>
    <mergeCell ref="D658:I658"/>
    <mergeCell ref="D659:I659"/>
    <mergeCell ref="D660:I660"/>
    <mergeCell ref="D661:I661"/>
    <mergeCell ref="D662:I662"/>
    <mergeCell ref="D663:I663"/>
    <mergeCell ref="D664:I664"/>
    <mergeCell ref="D665:I665"/>
    <mergeCell ref="D667:I667"/>
    <mergeCell ref="D668:I668"/>
    <mergeCell ref="D669:I669"/>
  </mergeCells>
  <dataValidations>
    <dataValidation type="list" allowBlank="1" showErrorMessage="1" sqref="G40">
      <formula1>"Automatic,Option 1,Option 2"</formula1>
    </dataValidation>
    <dataValidation type="list" allowBlank="1" showErrorMessage="1" sqref="G27">
      <formula1>"ENABLED,DISABLED"</formula1>
    </dataValidation>
    <dataValidation type="list" allowBlank="1" showErrorMessage="1" sqref="K27">
      <formula1>"DISABLED,ENABLED"</formula1>
    </dataValidation>
    <dataValidation type="list" allowBlank="1" showErrorMessage="1" sqref="C22">
      <formula1>$AF$4:$AF$5</formula1>
    </dataValidation>
    <dataValidation type="list" allowBlank="1" showErrorMessage="1" sqref="J27">
      <formula1>RowBankInterleavingOption</formula1>
    </dataValidation>
    <dataValidation type="list" allowBlank="1" showInputMessage="1" showErrorMessage="1" prompt="Bus width select - Select the desired bus width, 32-bit or 16-bit" sqref="C28">
      <formula1>BusWidth</formula1>
    </dataValidation>
    <dataValidation type="list" allowBlank="1" showInputMessage="1" showErrorMessage="1" prompt="Enable/disable 2D training" sqref="I27">
      <formula1>RowBankInterleavingOption</formula1>
    </dataValidation>
    <dataValidation type="list" allowBlank="1" showInputMessage="1" showErrorMessage="1" prompt="Number of frequency setpoints" sqref="H27">
      <formula1>$AF$4:$AF$6</formula1>
    </dataValidation>
    <dataValidation type="list" allowBlank="1" showErrorMessage="1" sqref="F32">
      <formula1>"1.0,2.0,3.0,4.0"</formula1>
    </dataValidation>
  </dataValidations>
  <printOptions/>
  <pageMargins bottom="1.0" footer="0.0" header="0.0" left="0.75" right="0.75" top="1.0"/>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46.0"/>
    <col customWidth="1" min="3" max="34" width="4.71"/>
    <col customWidth="1" min="35" max="35" width="8.71"/>
  </cols>
  <sheetData>
    <row r="1" ht="12.0" customHeight="1">
      <c r="B1" s="32" t="s">
        <v>835</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ht="12.0" customHeight="1">
      <c r="B2" s="32" t="s">
        <v>836</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row>
    <row r="3" ht="12.0" customHeight="1">
      <c r="B3" s="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ht="12.0" customHeight="1">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ht="12.0" customHeight="1">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ht="12.0" customHeight="1">
      <c r="C6" s="348" t="s">
        <v>837</v>
      </c>
      <c r="AI6" s="26"/>
    </row>
    <row r="7" ht="12.0" customHeight="1">
      <c r="B7" s="32" t="s">
        <v>838</v>
      </c>
      <c r="C7" s="349" t="s">
        <v>839</v>
      </c>
      <c r="D7" s="350"/>
      <c r="E7" s="350"/>
      <c r="F7" s="350"/>
      <c r="G7" s="350"/>
      <c r="H7" s="350"/>
      <c r="I7" s="350"/>
      <c r="J7" s="350"/>
      <c r="K7" s="350"/>
      <c r="L7" s="350"/>
      <c r="M7" s="350"/>
      <c r="N7" s="350"/>
      <c r="O7" s="350"/>
      <c r="P7" s="350"/>
      <c r="Q7" s="350"/>
      <c r="R7" s="350"/>
      <c r="S7" s="351" t="s">
        <v>840</v>
      </c>
      <c r="T7" s="153"/>
      <c r="U7" s="153"/>
      <c r="V7" s="153"/>
      <c r="W7" s="153"/>
      <c r="X7" s="153"/>
      <c r="Y7" s="153"/>
      <c r="Z7" s="153"/>
      <c r="AA7" s="153"/>
      <c r="AB7" s="153"/>
      <c r="AC7" s="153"/>
      <c r="AD7" s="153"/>
      <c r="AE7" s="153"/>
      <c r="AF7" s="153"/>
      <c r="AG7" s="153"/>
      <c r="AH7" s="73"/>
      <c r="AI7" s="26"/>
    </row>
    <row r="8" ht="12.0" customHeight="1">
      <c r="B8" s="32" t="s">
        <v>841</v>
      </c>
      <c r="C8" s="352">
        <v>15.0</v>
      </c>
      <c r="D8" s="353">
        <v>14.0</v>
      </c>
      <c r="E8" s="353">
        <v>13.0</v>
      </c>
      <c r="F8" s="353">
        <v>12.0</v>
      </c>
      <c r="G8" s="353">
        <v>11.0</v>
      </c>
      <c r="H8" s="353">
        <v>10.0</v>
      </c>
      <c r="I8" s="353">
        <v>9.0</v>
      </c>
      <c r="J8" s="354">
        <v>8.0</v>
      </c>
      <c r="K8" s="352">
        <v>7.0</v>
      </c>
      <c r="L8" s="353">
        <v>6.0</v>
      </c>
      <c r="M8" s="353">
        <v>5.0</v>
      </c>
      <c r="N8" s="353">
        <v>4.0</v>
      </c>
      <c r="O8" s="353">
        <v>3.0</v>
      </c>
      <c r="P8" s="353">
        <v>2.0</v>
      </c>
      <c r="Q8" s="353">
        <v>1.0</v>
      </c>
      <c r="R8" s="354">
        <v>0.0</v>
      </c>
      <c r="S8" s="352">
        <v>15.0</v>
      </c>
      <c r="T8" s="353">
        <v>14.0</v>
      </c>
      <c r="U8" s="353">
        <v>13.0</v>
      </c>
      <c r="V8" s="353">
        <v>12.0</v>
      </c>
      <c r="W8" s="353">
        <v>11.0</v>
      </c>
      <c r="X8" s="353">
        <v>10.0</v>
      </c>
      <c r="Y8" s="353">
        <v>9.0</v>
      </c>
      <c r="Z8" s="354">
        <v>8.0</v>
      </c>
      <c r="AA8" s="352">
        <v>7.0</v>
      </c>
      <c r="AB8" s="353">
        <v>6.0</v>
      </c>
      <c r="AC8" s="353">
        <v>5.0</v>
      </c>
      <c r="AD8" s="353">
        <v>4.0</v>
      </c>
      <c r="AE8" s="353">
        <v>3.0</v>
      </c>
      <c r="AF8" s="353">
        <v>2.0</v>
      </c>
      <c r="AG8" s="353">
        <v>1.0</v>
      </c>
      <c r="AH8" s="354">
        <v>0.0</v>
      </c>
      <c r="AI8" s="26"/>
    </row>
    <row r="9" ht="12.0" customHeight="1">
      <c r="B9" s="355" t="s">
        <v>842</v>
      </c>
      <c r="C9" s="356">
        <v>14.0</v>
      </c>
      <c r="D9" s="356">
        <v>15.0</v>
      </c>
      <c r="E9" s="356">
        <v>11.0</v>
      </c>
      <c r="F9" s="356">
        <v>8.0</v>
      </c>
      <c r="G9" s="356">
        <v>10.0</v>
      </c>
      <c r="H9" s="356">
        <v>13.0</v>
      </c>
      <c r="I9" s="356">
        <v>9.0</v>
      </c>
      <c r="J9" s="356">
        <v>12.0</v>
      </c>
      <c r="K9" s="356">
        <v>0.0</v>
      </c>
      <c r="L9" s="356">
        <v>4.0</v>
      </c>
      <c r="M9" s="356">
        <v>7.0</v>
      </c>
      <c r="N9" s="356">
        <v>1.0</v>
      </c>
      <c r="O9" s="356">
        <v>3.0</v>
      </c>
      <c r="P9" s="356">
        <v>2.0</v>
      </c>
      <c r="Q9" s="356">
        <v>5.0</v>
      </c>
      <c r="R9" s="356">
        <v>6.0</v>
      </c>
      <c r="S9" s="356">
        <v>23.0</v>
      </c>
      <c r="T9" s="356">
        <v>16.0</v>
      </c>
      <c r="U9" s="356">
        <v>22.0</v>
      </c>
      <c r="V9" s="356">
        <v>19.0</v>
      </c>
      <c r="W9" s="356">
        <v>17.0</v>
      </c>
      <c r="X9" s="356">
        <v>20.0</v>
      </c>
      <c r="Y9" s="356">
        <v>21.0</v>
      </c>
      <c r="Z9" s="356">
        <v>18.0</v>
      </c>
      <c r="AA9" s="356">
        <v>26.0</v>
      </c>
      <c r="AB9" s="356">
        <v>27.0</v>
      </c>
      <c r="AC9" s="356">
        <v>29.0</v>
      </c>
      <c r="AD9" s="356">
        <v>28.0</v>
      </c>
      <c r="AE9" s="356">
        <v>30.0</v>
      </c>
      <c r="AF9" s="356">
        <v>31.0</v>
      </c>
      <c r="AG9" s="356">
        <v>25.0</v>
      </c>
      <c r="AH9" s="356">
        <v>24.0</v>
      </c>
      <c r="AI9" s="26"/>
    </row>
    <row r="10" ht="12.0" customHeight="1">
      <c r="B10" s="32" t="s">
        <v>843</v>
      </c>
      <c r="C10" s="357">
        <f>IF(J9&lt;8, 0, IF(J9&lt;16, 1, IF(J9&lt;24, 2, 3)))</f>
        <v>1</v>
      </c>
      <c r="D10" s="358"/>
      <c r="E10" s="358"/>
      <c r="F10" s="358"/>
      <c r="G10" s="358"/>
      <c r="H10" s="358"/>
      <c r="I10" s="358"/>
      <c r="J10" s="98"/>
      <c r="K10" s="357">
        <f>IF(R9&lt;8, 0, IF(R9&lt;16, 1, IF(R9&lt;24, 2, 3)))</f>
        <v>0</v>
      </c>
      <c r="L10" s="358"/>
      <c r="M10" s="358"/>
      <c r="N10" s="358"/>
      <c r="O10" s="358"/>
      <c r="P10" s="358"/>
      <c r="Q10" s="358"/>
      <c r="R10" s="98"/>
      <c r="S10" s="359">
        <f>IF(Z9&lt;8, 0, IF(Z9&lt;16, 1, IF(Z9&lt;24, 2, 3)))</f>
        <v>2</v>
      </c>
      <c r="T10" s="358"/>
      <c r="U10" s="358"/>
      <c r="V10" s="358"/>
      <c r="W10" s="358"/>
      <c r="X10" s="358"/>
      <c r="Y10" s="358"/>
      <c r="Z10" s="98"/>
      <c r="AA10" s="359">
        <f>IF(AH9&lt;8, 0, IF(AH9&lt;16, 1, IF(AH9&lt;24, 2, 3)))</f>
        <v>3</v>
      </c>
      <c r="AB10" s="358"/>
      <c r="AC10" s="358"/>
      <c r="AD10" s="358"/>
      <c r="AE10" s="358"/>
      <c r="AF10" s="358"/>
      <c r="AG10" s="358"/>
      <c r="AH10" s="98"/>
      <c r="AI10" s="26"/>
    </row>
    <row r="11" ht="12.0" customHeight="1">
      <c r="B11" s="32" t="s">
        <v>844</v>
      </c>
      <c r="C11" s="360">
        <f>C9-C10*8</f>
        <v>6</v>
      </c>
      <c r="D11" s="360">
        <f>D9-C10*8</f>
        <v>7</v>
      </c>
      <c r="E11" s="360">
        <f>E9-C10*8</f>
        <v>3</v>
      </c>
      <c r="F11" s="360">
        <f>F9-C10*8</f>
        <v>0</v>
      </c>
      <c r="G11" s="360">
        <f>G9-C10*8</f>
        <v>2</v>
      </c>
      <c r="H11" s="360">
        <f>H9-C10*8</f>
        <v>5</v>
      </c>
      <c r="I11" s="360">
        <f>I9-C10*8</f>
        <v>1</v>
      </c>
      <c r="J11" s="360">
        <f>J9-C10*8</f>
        <v>4</v>
      </c>
      <c r="K11" s="360">
        <f>K9-K10*8</f>
        <v>0</v>
      </c>
      <c r="L11" s="360">
        <f>L9-K10*8</f>
        <v>4</v>
      </c>
      <c r="M11" s="360">
        <f>M9-K10*8</f>
        <v>7</v>
      </c>
      <c r="N11" s="360">
        <f>N9-K10*8</f>
        <v>1</v>
      </c>
      <c r="O11" s="360">
        <f>O9-K10*8</f>
        <v>3</v>
      </c>
      <c r="P11" s="360">
        <f>P9-K10*8</f>
        <v>2</v>
      </c>
      <c r="Q11" s="360">
        <f>Q9-K10*8</f>
        <v>5</v>
      </c>
      <c r="R11" s="360">
        <f>R9-K10*8</f>
        <v>6</v>
      </c>
      <c r="S11" s="360">
        <f>S9-S10*8</f>
        <v>7</v>
      </c>
      <c r="T11" s="360">
        <f>T9-S10*8</f>
        <v>0</v>
      </c>
      <c r="U11" s="360">
        <f>U9-S10*8</f>
        <v>6</v>
      </c>
      <c r="V11" s="360">
        <f>V9-S10*8</f>
        <v>3</v>
      </c>
      <c r="W11" s="360">
        <f>W9-S10*8</f>
        <v>1</v>
      </c>
      <c r="X11" s="360">
        <f>X9-S10*8</f>
        <v>4</v>
      </c>
      <c r="Y11" s="360">
        <f>Y9-S10*8</f>
        <v>5</v>
      </c>
      <c r="Z11" s="360">
        <f>Z9-S10*8</f>
        <v>2</v>
      </c>
      <c r="AA11" s="360">
        <f>AA9-AA10*8</f>
        <v>2</v>
      </c>
      <c r="AB11" s="360">
        <f>AB9-AA10*8</f>
        <v>3</v>
      </c>
      <c r="AC11" s="360">
        <f>AC9-AA10*8</f>
        <v>5</v>
      </c>
      <c r="AD11" s="360">
        <f>AD9-AA10*8</f>
        <v>4</v>
      </c>
      <c r="AE11" s="360">
        <f>AE9-AA10*8</f>
        <v>6</v>
      </c>
      <c r="AF11" s="360">
        <f>AF9-AA10*8</f>
        <v>7</v>
      </c>
      <c r="AG11" s="360">
        <f>AG9-AA10*8</f>
        <v>1</v>
      </c>
      <c r="AH11" s="361">
        <f>AH9-AA10*8</f>
        <v>0</v>
      </c>
      <c r="AI11" s="26"/>
    </row>
    <row r="12" ht="12.0" customHeight="1">
      <c r="C12" s="362" t="str">
        <f>IF(AND(OR((SUM(C9:AH9)=496),(SUM(C9:AH9)=240)),(SUM(C11:AH11)=112)),"DQ Bits Entered Correctly","Error In DQ Bit Entry")</f>
        <v>DQ Bits Entered Correctly</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73"/>
      <c r="AI12" s="26"/>
    </row>
    <row r="13" ht="12.0" customHeight="1">
      <c r="C13" s="363"/>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26"/>
    </row>
    <row r="14" ht="12.0" customHeight="1">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row>
    <row r="15" ht="12.0" customHeight="1">
      <c r="B15" s="364" t="s">
        <v>845</v>
      </c>
      <c r="C15" s="365" t="s">
        <v>846</v>
      </c>
      <c r="D15" s="350"/>
      <c r="E15" s="366"/>
      <c r="F15" s="365" t="s">
        <v>847</v>
      </c>
      <c r="G15" s="350"/>
      <c r="H15" s="367"/>
      <c r="I15" s="45"/>
      <c r="J15" s="45"/>
      <c r="K15" s="45"/>
      <c r="L15" s="45"/>
      <c r="M15" s="45"/>
      <c r="N15" s="45"/>
      <c r="O15" s="45"/>
      <c r="P15" s="45"/>
      <c r="Q15" s="45"/>
      <c r="R15" s="45"/>
      <c r="S15" s="45"/>
      <c r="T15" s="45"/>
      <c r="U15" s="45"/>
      <c r="V15" s="45"/>
      <c r="W15" s="45"/>
      <c r="X15" s="45"/>
      <c r="Y15" s="26"/>
      <c r="Z15" s="26"/>
      <c r="AA15" s="26"/>
      <c r="AB15" s="26"/>
      <c r="AC15" s="26"/>
      <c r="AD15" s="26"/>
      <c r="AE15" s="26"/>
      <c r="AF15" s="26"/>
      <c r="AG15" s="26"/>
      <c r="AH15" s="26"/>
      <c r="AI15" s="26"/>
    </row>
    <row r="16" ht="12.0" customHeight="1">
      <c r="B16" s="92" t="str">
        <f>"DDR_PHY_Dq0LnSel_"&amp;AA10</f>
        <v>DDR_PHY_Dq0LnSel_3</v>
      </c>
      <c r="C16" s="368" t="str">
        <f>"0x"&amp;DEC2HEX(1006632960 + 262784 + 16384*AA10)</f>
        <v>0x3C04C280</v>
      </c>
      <c r="D16" s="369"/>
      <c r="E16" s="370"/>
      <c r="F16" s="368" t="str">
        <f>"0x"&amp;DEC2HEX(AH11, 8)</f>
        <v>0x00000000</v>
      </c>
      <c r="G16" s="369"/>
      <c r="H16" s="94"/>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row>
    <row r="17" ht="12.0" customHeight="1">
      <c r="B17" s="57" t="str">
        <f>"DDR_PHY_Dq1LnSel_"&amp;AA10</f>
        <v>DDR_PHY_Dq1LnSel_3</v>
      </c>
      <c r="C17" s="371" t="str">
        <f>"0x"&amp;DEC2HEX(1006632960 + 262788 + 16384*AA10)</f>
        <v>0x3C04C284</v>
      </c>
      <c r="D17" s="24"/>
      <c r="E17" s="10"/>
      <c r="F17" s="371" t="str">
        <f>"0x"&amp;DEC2HEX(AG11, 8)</f>
        <v>0x00000001</v>
      </c>
      <c r="G17" s="24"/>
      <c r="H17" s="59"/>
      <c r="I17" s="26"/>
      <c r="J17" s="26"/>
      <c r="K17" s="26"/>
      <c r="L17" s="26"/>
      <c r="M17" s="26"/>
      <c r="N17" s="26"/>
      <c r="O17" s="26"/>
      <c r="P17" s="26"/>
      <c r="Q17" s="26"/>
      <c r="R17" s="26"/>
      <c r="S17" s="26"/>
    </row>
    <row r="18" ht="12.0" customHeight="1">
      <c r="B18" s="57" t="str">
        <f>"DDR_PHY_Dq2LnSel_"&amp;AA10</f>
        <v>DDR_PHY_Dq2LnSel_3</v>
      </c>
      <c r="C18" s="371" t="str">
        <f>"0x"&amp;DEC2HEX(1006632960 + 262792 + 16384*AA10)</f>
        <v>0x3C04C288</v>
      </c>
      <c r="D18" s="24"/>
      <c r="E18" s="10"/>
      <c r="F18" s="371" t="str">
        <f>"0x"&amp;DEC2HEX(AF11, 8)</f>
        <v>0x00000007</v>
      </c>
      <c r="G18" s="24"/>
      <c r="H18" s="59"/>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row>
    <row r="19" ht="12.0" customHeight="1">
      <c r="B19" s="57" t="str">
        <f>"DDR_PHY_Dq3LnSel_"&amp;AA10</f>
        <v>DDR_PHY_Dq3LnSel_3</v>
      </c>
      <c r="C19" s="371" t="str">
        <f>"0x"&amp;DEC2HEX(1006632960 + 262796 + 16384*AA10)</f>
        <v>0x3C04C28C</v>
      </c>
      <c r="D19" s="24"/>
      <c r="E19" s="10"/>
      <c r="F19" s="371" t="str">
        <f>"0x"&amp;DEC2HEX(AE11, 8)</f>
        <v>0x00000006</v>
      </c>
      <c r="G19" s="24"/>
      <c r="H19" s="59"/>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row>
    <row r="20" ht="12.0" customHeight="1">
      <c r="B20" s="57" t="str">
        <f>"DDR_PHY_Dq4LnSel_"&amp;AA10</f>
        <v>DDR_PHY_Dq4LnSel_3</v>
      </c>
      <c r="C20" s="371" t="str">
        <f>"0x"&amp;DEC2HEX(1006632960 + 262800 + 16384*AA10)</f>
        <v>0x3C04C290</v>
      </c>
      <c r="D20" s="24"/>
      <c r="E20" s="10"/>
      <c r="F20" s="371" t="str">
        <f>"0x"&amp;DEC2HEX(AD11, 8)</f>
        <v>0x00000004</v>
      </c>
      <c r="G20" s="24"/>
      <c r="H20" s="59"/>
      <c r="I20" s="26"/>
      <c r="J20" s="26"/>
      <c r="K20" s="26"/>
      <c r="L20" s="26"/>
      <c r="M20" s="26"/>
      <c r="N20" s="26"/>
      <c r="O20" s="26"/>
      <c r="P20" s="26"/>
      <c r="Q20" s="26"/>
      <c r="R20" s="26"/>
      <c r="S20" s="26"/>
    </row>
    <row r="21" ht="12.0" customHeight="1">
      <c r="B21" s="57" t="str">
        <f>"DDR_PHY_Dq5LnSel_"&amp;AA10</f>
        <v>DDR_PHY_Dq5LnSel_3</v>
      </c>
      <c r="C21" s="371" t="str">
        <f>"0x"&amp;DEC2HEX(1006632960 + 262804 + 16384*AA10)</f>
        <v>0x3C04C294</v>
      </c>
      <c r="D21" s="24"/>
      <c r="E21" s="10"/>
      <c r="F21" s="371" t="str">
        <f>"0x"&amp;DEC2HEX(AC11, 8)</f>
        <v>0x00000005</v>
      </c>
      <c r="G21" s="24"/>
      <c r="H21" s="59"/>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row>
    <row r="22" ht="12.0" customHeight="1">
      <c r="B22" s="57" t="str">
        <f>"DDR_PHY_Dq6LnSel_"&amp;AA10</f>
        <v>DDR_PHY_Dq6LnSel_3</v>
      </c>
      <c r="C22" s="371" t="str">
        <f>"0x"&amp;DEC2HEX(1006632960 + 262808 + 16384*AA10)</f>
        <v>0x3C04C298</v>
      </c>
      <c r="D22" s="24"/>
      <c r="E22" s="10"/>
      <c r="F22" s="371" t="str">
        <f>"0x"&amp;DEC2HEX(AB11, 8)</f>
        <v>0x00000003</v>
      </c>
      <c r="G22" s="24"/>
      <c r="H22" s="59"/>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row>
    <row r="23" ht="12.0" customHeight="1">
      <c r="B23" s="96" t="str">
        <f>"DDR_PHY_Dq7LnSel_"&amp;AA10</f>
        <v>DDR_PHY_Dq7LnSel_3</v>
      </c>
      <c r="C23" s="372" t="str">
        <f>"0x"&amp;DEC2HEX(1006632960 + 262812 + 16384*AA10)</f>
        <v>0x3C04C29C</v>
      </c>
      <c r="D23" s="358"/>
      <c r="E23" s="373"/>
      <c r="F23" s="372" t="str">
        <f>"0x"&amp;DEC2HEX(AA11, 8)</f>
        <v>0x00000002</v>
      </c>
      <c r="G23" s="358"/>
      <c r="H23" s="98"/>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row>
    <row r="24" ht="12.0" customHeight="1">
      <c r="B24" s="100" t="str">
        <f>"DDR_PHY_Dq0LnSel_"&amp;S10</f>
        <v>DDR_PHY_Dq0LnSel_2</v>
      </c>
      <c r="C24" s="374" t="str">
        <f>"0x"&amp;DEC2HEX(1006632960 + 262784 + 16384*S10)</f>
        <v>0x3C048280</v>
      </c>
      <c r="D24" s="106"/>
      <c r="E24" s="76"/>
      <c r="F24" s="374" t="str">
        <f>"0x"&amp;DEC2HEX(Z11, 8)</f>
        <v>0x00000002</v>
      </c>
      <c r="G24" s="106"/>
      <c r="H24" s="102"/>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row>
    <row r="25" ht="12.0" customHeight="1">
      <c r="B25" s="57" t="str">
        <f>"DDR_PHY_Dq1LnSel_"&amp;S10</f>
        <v>DDR_PHY_Dq1LnSel_2</v>
      </c>
      <c r="C25" s="371" t="str">
        <f>"0x"&amp;DEC2HEX(1006632960 + 262788 + 16384*S10)</f>
        <v>0x3C048284</v>
      </c>
      <c r="D25" s="24"/>
      <c r="E25" s="10"/>
      <c r="F25" s="371" t="str">
        <f>"0x"&amp;DEC2HEX(Y11, 8)</f>
        <v>0x00000005</v>
      </c>
      <c r="G25" s="24"/>
      <c r="H25" s="59"/>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ht="12.0" customHeight="1">
      <c r="B26" s="57" t="str">
        <f>"DDR_PHY_Dq2LnSel_"&amp;S10</f>
        <v>DDR_PHY_Dq2LnSel_2</v>
      </c>
      <c r="C26" s="371" t="str">
        <f>"0x"&amp;DEC2HEX(1006632960 + 262792 + 16384*S10)</f>
        <v>0x3C048288</v>
      </c>
      <c r="D26" s="24"/>
      <c r="E26" s="10"/>
      <c r="F26" s="371" t="str">
        <f>"0x"&amp;DEC2HEX(X11, 8)</f>
        <v>0x00000004</v>
      </c>
      <c r="G26" s="24"/>
      <c r="H26" s="59"/>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row>
    <row r="27" ht="12.0" customHeight="1">
      <c r="B27" s="57" t="str">
        <f>"DDR_PHY_Dq3LnSel_"&amp;S10</f>
        <v>DDR_PHY_Dq3LnSel_2</v>
      </c>
      <c r="C27" s="371" t="str">
        <f>"0x"&amp;DEC2HEX(1006632960 + 262796 + 16384*S10)</f>
        <v>0x3C04828C</v>
      </c>
      <c r="D27" s="24"/>
      <c r="E27" s="10"/>
      <c r="F27" s="371" t="str">
        <f>"0x"&amp;DEC2HEX(W11, 8)</f>
        <v>0x00000001</v>
      </c>
      <c r="G27" s="24"/>
      <c r="H27" s="59"/>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row>
    <row r="28" ht="12.0" customHeight="1">
      <c r="B28" s="57" t="str">
        <f>"DDR_PHY_Dq4LnSel_"&amp;S10</f>
        <v>DDR_PHY_Dq4LnSel_2</v>
      </c>
      <c r="C28" s="371" t="str">
        <f>"0x"&amp;DEC2HEX(1006632960 + 262800 + 16384*S10)</f>
        <v>0x3C048290</v>
      </c>
      <c r="D28" s="24"/>
      <c r="E28" s="10"/>
      <c r="F28" s="371" t="str">
        <f>"0x"&amp;DEC2HEX(V11, 8)</f>
        <v>0x00000003</v>
      </c>
      <c r="G28" s="24"/>
      <c r="H28" s="59"/>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row>
    <row r="29" ht="12.0" customHeight="1">
      <c r="B29" s="57" t="str">
        <f>"DDR_PHY_Dq5LnSel_"&amp;S10</f>
        <v>DDR_PHY_Dq5LnSel_2</v>
      </c>
      <c r="C29" s="371" t="str">
        <f>"0x"&amp;DEC2HEX(1006632960 + 262804 + 16384*S10)</f>
        <v>0x3C048294</v>
      </c>
      <c r="D29" s="24"/>
      <c r="E29" s="10"/>
      <c r="F29" s="371" t="str">
        <f>"0x"&amp;DEC2HEX(U11, 8)</f>
        <v>0x00000006</v>
      </c>
      <c r="G29" s="24"/>
      <c r="H29" s="59"/>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row>
    <row r="30" ht="12.0" customHeight="1">
      <c r="B30" s="57" t="str">
        <f>"DDR_PHY_Dq6LnSel_"&amp;S10</f>
        <v>DDR_PHY_Dq6LnSel_2</v>
      </c>
      <c r="C30" s="371" t="str">
        <f>"0x"&amp;DEC2HEX(1006632960 + 262808 + 16384*S10)</f>
        <v>0x3C048298</v>
      </c>
      <c r="D30" s="24"/>
      <c r="E30" s="10"/>
      <c r="F30" s="371" t="str">
        <f>"0x"&amp;DEC2HEX(T11, 8)</f>
        <v>0x00000000</v>
      </c>
      <c r="G30" s="24"/>
      <c r="H30" s="59"/>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row>
    <row r="31" ht="12.0" customHeight="1">
      <c r="B31" s="86" t="str">
        <f>"DDR_PHY_Dq7LnSel_"&amp;S10</f>
        <v>DDR_PHY_Dq7LnSel_2</v>
      </c>
      <c r="C31" s="375" t="str">
        <f>"0x"&amp;DEC2HEX(1006632960 + 262812 + 16384*S10)</f>
        <v>0x3C04829C</v>
      </c>
      <c r="D31" s="91"/>
      <c r="E31" s="56"/>
      <c r="F31" s="375" t="str">
        <f>"0x"&amp;DEC2HEX(S11, 8)</f>
        <v>0x00000007</v>
      </c>
      <c r="G31" s="91"/>
      <c r="H31" s="37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row>
    <row r="32" ht="12.0" customHeight="1">
      <c r="B32" s="92" t="str">
        <f>"DDR_PHY_Dq0LnSel_"&amp;K10</f>
        <v>DDR_PHY_Dq0LnSel_0</v>
      </c>
      <c r="C32" s="368" t="str">
        <f>"0x"&amp;DEC2HEX(1006632960 + 262784 + 16384*K10)</f>
        <v>0x3C040280</v>
      </c>
      <c r="D32" s="369"/>
      <c r="E32" s="370"/>
      <c r="F32" s="368" t="str">
        <f>"0x"&amp;DEC2HEX(R11, 8)</f>
        <v>0x00000006</v>
      </c>
      <c r="G32" s="369"/>
      <c r="H32" s="94"/>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row>
    <row r="33" ht="12.0" customHeight="1">
      <c r="B33" s="57" t="str">
        <f>"DDR_PHY_Dq1LnSel_"&amp;K10</f>
        <v>DDR_PHY_Dq1LnSel_0</v>
      </c>
      <c r="C33" s="371" t="str">
        <f>"0x"&amp;DEC2HEX(1006632960 + 262788 + 16384*K10)</f>
        <v>0x3C040284</v>
      </c>
      <c r="D33" s="24"/>
      <c r="E33" s="10"/>
      <c r="F33" s="371" t="str">
        <f>"0x"&amp;DEC2HEX(Q11, 8)</f>
        <v>0x00000005</v>
      </c>
      <c r="G33" s="24"/>
      <c r="H33" s="59"/>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row>
    <row r="34" ht="12.0" customHeight="1">
      <c r="B34" s="57" t="str">
        <f>"DDR_PHY_Dq2LnSel_"&amp;K10</f>
        <v>DDR_PHY_Dq2LnSel_0</v>
      </c>
      <c r="C34" s="371" t="str">
        <f>"0x"&amp;DEC2HEX(1006632960 + 262792 + 16384*K10)</f>
        <v>0x3C040288</v>
      </c>
      <c r="D34" s="24"/>
      <c r="E34" s="10"/>
      <c r="F34" s="371" t="str">
        <f>"0x"&amp;DEC2HEX(P11, 8)</f>
        <v>0x00000002</v>
      </c>
      <c r="G34" s="24"/>
      <c r="H34" s="59"/>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row>
    <row r="35" ht="12.0" customHeight="1">
      <c r="B35" s="57" t="str">
        <f>"DDR_PHY_Dq3LnSel_"&amp;K10</f>
        <v>DDR_PHY_Dq3LnSel_0</v>
      </c>
      <c r="C35" s="371" t="str">
        <f>"0x"&amp;DEC2HEX(1006632960 + 262796 + 16384*K10)</f>
        <v>0x3C04028C</v>
      </c>
      <c r="D35" s="24"/>
      <c r="E35" s="10"/>
      <c r="F35" s="371" t="str">
        <f>"0x"&amp;DEC2HEX(O11, 8)</f>
        <v>0x00000003</v>
      </c>
      <c r="G35" s="24"/>
      <c r="H35" s="59"/>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row>
    <row r="36" ht="12.0" customHeight="1">
      <c r="B36" s="57" t="str">
        <f>"DDR_PHY_Dq4LnSel_"&amp;K10</f>
        <v>DDR_PHY_Dq4LnSel_0</v>
      </c>
      <c r="C36" s="371" t="str">
        <f>"0x"&amp;DEC2HEX(1006632960 + 262800 + 16384*K10)</f>
        <v>0x3C040290</v>
      </c>
      <c r="D36" s="24"/>
      <c r="E36" s="10"/>
      <c r="F36" s="371" t="str">
        <f>"0x"&amp;DEC2HEX(N11, 8)</f>
        <v>0x00000001</v>
      </c>
      <c r="G36" s="24"/>
      <c r="H36" s="59"/>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row>
    <row r="37" ht="12.0" customHeight="1">
      <c r="B37" s="57" t="str">
        <f>"DDR_PHY_Dq5LnSel_"&amp;K10</f>
        <v>DDR_PHY_Dq5LnSel_0</v>
      </c>
      <c r="C37" s="371" t="str">
        <f>"0x"&amp;DEC2HEX(1006632960 + 262804 + 16384*K10)</f>
        <v>0x3C040294</v>
      </c>
      <c r="D37" s="24"/>
      <c r="E37" s="10"/>
      <c r="F37" s="371" t="str">
        <f>"0x"&amp;DEC2HEX(M11, 8)</f>
        <v>0x00000007</v>
      </c>
      <c r="G37" s="24"/>
      <c r="H37" s="59"/>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row>
    <row r="38" ht="12.0" customHeight="1">
      <c r="B38" s="57" t="str">
        <f>"DDR_PHY_Dq6LnSel_"&amp;K10</f>
        <v>DDR_PHY_Dq6LnSel_0</v>
      </c>
      <c r="C38" s="371" t="str">
        <f>"0x"&amp;DEC2HEX(1006632960 + 262808 + 16384*K10)</f>
        <v>0x3C040298</v>
      </c>
      <c r="D38" s="24"/>
      <c r="E38" s="10"/>
      <c r="F38" s="371" t="str">
        <f>"0x"&amp;DEC2HEX(L11, 8)</f>
        <v>0x00000004</v>
      </c>
      <c r="G38" s="24"/>
      <c r="H38" s="59"/>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row>
    <row r="39" ht="12.0" customHeight="1">
      <c r="B39" s="96" t="str">
        <f>"DDR_PHY_Dq7LnSel_"&amp;K10</f>
        <v>DDR_PHY_Dq7LnSel_0</v>
      </c>
      <c r="C39" s="372" t="str">
        <f>"0x"&amp;DEC2HEX(1006632960 + 262812 + 16384*K10)</f>
        <v>0x3C04029C</v>
      </c>
      <c r="D39" s="358"/>
      <c r="E39" s="373"/>
      <c r="F39" s="372" t="str">
        <f>"0x"&amp;DEC2HEX(K11, 8)</f>
        <v>0x00000000</v>
      </c>
      <c r="G39" s="358"/>
      <c r="H39" s="98"/>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row>
    <row r="40" ht="12.0" customHeight="1">
      <c r="B40" s="100" t="str">
        <f>"DDR_PHY_Dq0LnSel_"&amp;C10</f>
        <v>DDR_PHY_Dq0LnSel_1</v>
      </c>
      <c r="C40" s="374" t="str">
        <f>"0x"&amp;DEC2HEX(1006632960 + 262784 + 16384*C10)</f>
        <v>0x3C044280</v>
      </c>
      <c r="D40" s="106"/>
      <c r="E40" s="76"/>
      <c r="F40" s="374" t="str">
        <f>"0x"&amp;DEC2HEX(J11, 8)</f>
        <v>0x00000004</v>
      </c>
      <c r="G40" s="106"/>
      <c r="H40" s="102"/>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row>
    <row r="41" ht="12.0" customHeight="1">
      <c r="B41" s="57" t="str">
        <f>"DDR_PHY_Dq1LnSel_"&amp;C10</f>
        <v>DDR_PHY_Dq1LnSel_1</v>
      </c>
      <c r="C41" s="371" t="str">
        <f>"0x"&amp;DEC2HEX(1006632960 + 262788 + 16384*C10)</f>
        <v>0x3C044284</v>
      </c>
      <c r="D41" s="24"/>
      <c r="E41" s="10"/>
      <c r="F41" s="371" t="str">
        <f>"0x"&amp;DEC2HEX(I11, 8)</f>
        <v>0x00000001</v>
      </c>
      <c r="G41" s="24"/>
      <c r="H41" s="59"/>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row>
    <row r="42" ht="12.0" customHeight="1">
      <c r="B42" s="57" t="str">
        <f>"DDR_PHY_Dq2LnSel_"&amp;C10</f>
        <v>DDR_PHY_Dq2LnSel_1</v>
      </c>
      <c r="C42" s="371" t="str">
        <f>"0x"&amp;DEC2HEX(1006632960 + 262792 + 16384*C10)</f>
        <v>0x3C044288</v>
      </c>
      <c r="D42" s="24"/>
      <c r="E42" s="10"/>
      <c r="F42" s="371" t="str">
        <f>"0x"&amp;DEC2HEX(H11, 8)</f>
        <v>0x00000005</v>
      </c>
      <c r="G42" s="24"/>
      <c r="H42" s="59"/>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row>
    <row r="43" ht="12.0" customHeight="1">
      <c r="B43" s="57" t="str">
        <f>"DDR_PHY_Dq3LnSel_"&amp;C10</f>
        <v>DDR_PHY_Dq3LnSel_1</v>
      </c>
      <c r="C43" s="371" t="str">
        <f>"0x"&amp;DEC2HEX(1006632960 + 262796 + 16384*C10)</f>
        <v>0x3C04428C</v>
      </c>
      <c r="D43" s="24"/>
      <c r="E43" s="10"/>
      <c r="F43" s="371" t="str">
        <f>"0x"&amp;DEC2HEX(G11, 8)</f>
        <v>0x00000002</v>
      </c>
      <c r="G43" s="24"/>
      <c r="H43" s="59"/>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row>
    <row r="44" ht="12.0" customHeight="1">
      <c r="B44" s="57" t="str">
        <f>"DDR_PHY_Dq4LnSel_"&amp;C10</f>
        <v>DDR_PHY_Dq4LnSel_1</v>
      </c>
      <c r="C44" s="371" t="str">
        <f>"0x"&amp;DEC2HEX(1006632960 + 262800 + 16384*C10)</f>
        <v>0x3C044290</v>
      </c>
      <c r="D44" s="24"/>
      <c r="E44" s="10"/>
      <c r="F44" s="371" t="str">
        <f>"0x"&amp;DEC2HEX(F11, 8)</f>
        <v>0x00000000</v>
      </c>
      <c r="G44" s="24"/>
      <c r="H44" s="59"/>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row>
    <row r="45" ht="12.0" customHeight="1">
      <c r="B45" s="57" t="str">
        <f>"DDR_PHY_Dq5LnSel_"&amp;C10</f>
        <v>DDR_PHY_Dq5LnSel_1</v>
      </c>
      <c r="C45" s="371" t="str">
        <f>"0x"&amp;DEC2HEX(1006632960 + 262804 + 16384*C10)</f>
        <v>0x3C044294</v>
      </c>
      <c r="D45" s="24"/>
      <c r="E45" s="10"/>
      <c r="F45" s="371" t="str">
        <f>"0x"&amp;DEC2HEX(E11, 8)</f>
        <v>0x00000003</v>
      </c>
      <c r="G45" s="24"/>
      <c r="H45" s="59"/>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row>
    <row r="46" ht="12.0" customHeight="1">
      <c r="B46" s="57" t="str">
        <f>"DDR_PHY_Dq6LnSel_"&amp;C10</f>
        <v>DDR_PHY_Dq6LnSel_1</v>
      </c>
      <c r="C46" s="371" t="str">
        <f>"0x"&amp;DEC2HEX(1006632960 + 262808 + 16384*C10)</f>
        <v>0x3C044298</v>
      </c>
      <c r="D46" s="24"/>
      <c r="E46" s="10"/>
      <c r="F46" s="371" t="str">
        <f>"0x"&amp;DEC2HEX(D11, 8)</f>
        <v>0x00000007</v>
      </c>
      <c r="G46" s="24"/>
      <c r="H46" s="59"/>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row>
    <row r="47" ht="12.0" customHeight="1">
      <c r="B47" s="96" t="str">
        <f>"DDR_PHY_Dq7LnSel_"&amp;C10</f>
        <v>DDR_PHY_Dq7LnSel_1</v>
      </c>
      <c r="C47" s="372" t="str">
        <f>"0x"&amp;DEC2HEX(1006632960 + 262812 + 16384*C10)</f>
        <v>0x3C04429C</v>
      </c>
      <c r="D47" s="358"/>
      <c r="E47" s="373"/>
      <c r="F47" s="372" t="str">
        <f>"0x"&amp;DEC2HEX(C11, 8)</f>
        <v>0x00000006</v>
      </c>
      <c r="G47" s="358"/>
      <c r="H47" s="98"/>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row>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74">
    <mergeCell ref="F36:H36"/>
    <mergeCell ref="F37:H37"/>
    <mergeCell ref="F29:H29"/>
    <mergeCell ref="F30:H30"/>
    <mergeCell ref="F31:H31"/>
    <mergeCell ref="F32:H32"/>
    <mergeCell ref="F33:H33"/>
    <mergeCell ref="F34:H34"/>
    <mergeCell ref="F35:H35"/>
    <mergeCell ref="C43:E43"/>
    <mergeCell ref="C44:E44"/>
    <mergeCell ref="C45:E45"/>
    <mergeCell ref="C46:E46"/>
    <mergeCell ref="C47:E47"/>
    <mergeCell ref="F44:H44"/>
    <mergeCell ref="F45:H45"/>
    <mergeCell ref="F46:H46"/>
    <mergeCell ref="F47:H47"/>
    <mergeCell ref="C40:E40"/>
    <mergeCell ref="F40:H40"/>
    <mergeCell ref="C41:E41"/>
    <mergeCell ref="F41:H41"/>
    <mergeCell ref="C42:E42"/>
    <mergeCell ref="F42:H42"/>
    <mergeCell ref="F43:H43"/>
    <mergeCell ref="C6:AH6"/>
    <mergeCell ref="C7:R7"/>
    <mergeCell ref="S7:AH7"/>
    <mergeCell ref="C12:AH12"/>
    <mergeCell ref="C10:J10"/>
    <mergeCell ref="AA10:AH10"/>
    <mergeCell ref="S10:Z10"/>
    <mergeCell ref="K10:R10"/>
    <mergeCell ref="C15:E15"/>
    <mergeCell ref="F15:H15"/>
    <mergeCell ref="C16:E16"/>
    <mergeCell ref="F16:H16"/>
    <mergeCell ref="C17:E17"/>
    <mergeCell ref="F17:H17"/>
    <mergeCell ref="C18:E18"/>
    <mergeCell ref="F18:H18"/>
    <mergeCell ref="C19:E19"/>
    <mergeCell ref="F19:H19"/>
    <mergeCell ref="C20:E20"/>
    <mergeCell ref="F20:H20"/>
    <mergeCell ref="F21:H21"/>
    <mergeCell ref="C21:E21"/>
    <mergeCell ref="C22:E22"/>
    <mergeCell ref="C23:E23"/>
    <mergeCell ref="C24:E24"/>
    <mergeCell ref="C25:E25"/>
    <mergeCell ref="C26:E26"/>
    <mergeCell ref="C27:E27"/>
    <mergeCell ref="F22:H22"/>
    <mergeCell ref="F23:H23"/>
    <mergeCell ref="F24:H24"/>
    <mergeCell ref="F25:H25"/>
    <mergeCell ref="F26:H26"/>
    <mergeCell ref="F27:H27"/>
    <mergeCell ref="F28:H28"/>
    <mergeCell ref="C28:E28"/>
    <mergeCell ref="C29:E29"/>
    <mergeCell ref="C30:E30"/>
    <mergeCell ref="C31:E31"/>
    <mergeCell ref="C32:E32"/>
    <mergeCell ref="C33:E33"/>
    <mergeCell ref="C34:E34"/>
    <mergeCell ref="C35:E35"/>
    <mergeCell ref="C36:E36"/>
    <mergeCell ref="C37:E37"/>
    <mergeCell ref="C38:E38"/>
    <mergeCell ref="F38:H38"/>
    <mergeCell ref="C39:E39"/>
    <mergeCell ref="F39:H39"/>
  </mergeCells>
  <conditionalFormatting sqref="C12:C13">
    <cfRule type="containsText" dxfId="0" priority="1" operator="containsText" text="Error In DQ Bit Entry">
      <formula>NOT(ISERROR(SEARCH(("Error In DQ Bit Entry"),(C12))))</formula>
    </cfRule>
  </conditionalFormatting>
  <conditionalFormatting sqref="C12:C13">
    <cfRule type="containsText" dxfId="1" priority="2" operator="containsText" text="DQ Bits Entered Correctly">
      <formula>NOT(ISERROR(SEARCH(("DQ Bits Entered Correctly"),(C12))))</formula>
    </cfRule>
  </conditionalFormatting>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29"/>
    <col customWidth="1" min="2" max="2" width="14.29"/>
    <col customWidth="1" min="3" max="3" width="20.29"/>
    <col customWidth="1" min="4" max="4" width="23.86"/>
    <col customWidth="1" min="5" max="5" width="2.29"/>
    <col customWidth="1" min="6" max="6" width="31.57"/>
    <col customWidth="1" min="7" max="7" width="6.14"/>
    <col customWidth="1" min="8" max="8" width="12.57"/>
    <col customWidth="1" min="9" max="9" width="25.57"/>
    <col customWidth="1" min="10" max="26" width="8.71"/>
  </cols>
  <sheetData>
    <row r="1" ht="12.0" customHeight="1">
      <c r="A1" s="377" t="str">
        <f>IF('Register Configuration'!D83=0, "This worksheet is for binary-aligned densities", "ALERT! It's been detected that a non-binary-aligned density is in use, therefore you must use ECC_Config_nonBinaryAligned worksheet!")</f>
        <v>This worksheet is for binary-aligned densities</v>
      </c>
      <c r="B1" s="21"/>
      <c r="C1" s="21"/>
      <c r="D1" s="21"/>
      <c r="E1" s="21"/>
      <c r="F1" s="21"/>
      <c r="G1" s="22"/>
      <c r="H1" s="151"/>
    </row>
    <row r="2" ht="12.0" customHeight="1">
      <c r="A2" s="378" t="s">
        <v>848</v>
      </c>
      <c r="B2" s="21"/>
      <c r="C2" s="21"/>
      <c r="D2" s="21"/>
      <c r="E2" s="21"/>
      <c r="F2" s="21"/>
      <c r="G2" s="22"/>
      <c r="H2" s="151"/>
    </row>
    <row r="3" ht="12.0" customHeight="1">
      <c r="A3" s="197" t="s">
        <v>849</v>
      </c>
      <c r="B3" s="379"/>
      <c r="C3" s="1"/>
      <c r="D3" s="1"/>
      <c r="E3" s="4"/>
      <c r="F3" s="4"/>
      <c r="G3" s="4"/>
      <c r="H3" s="151"/>
    </row>
    <row r="4" ht="12.0" customHeight="1">
      <c r="A4" s="197" t="s">
        <v>850</v>
      </c>
      <c r="B4" s="379"/>
      <c r="C4" s="1"/>
      <c r="D4" s="1"/>
      <c r="E4" s="4"/>
      <c r="F4" s="4"/>
      <c r="G4" s="4"/>
      <c r="H4" s="151"/>
    </row>
    <row r="5" ht="12.0" customHeight="1">
      <c r="A5" s="380" t="s">
        <v>835</v>
      </c>
      <c r="B5" s="1"/>
      <c r="C5" s="1"/>
      <c r="D5" s="1"/>
      <c r="E5" s="4"/>
      <c r="F5" s="4"/>
      <c r="G5" s="4"/>
      <c r="H5" s="151"/>
    </row>
    <row r="6" ht="12.0" customHeight="1">
      <c r="A6" s="381" t="s">
        <v>851</v>
      </c>
      <c r="B6" s="382"/>
      <c r="C6" s="383"/>
      <c r="D6" s="1"/>
      <c r="E6" s="4"/>
      <c r="F6" s="4"/>
      <c r="G6" s="4"/>
      <c r="H6" s="151"/>
    </row>
    <row r="7" ht="12.0" customHeight="1">
      <c r="A7" s="384" t="s">
        <v>852</v>
      </c>
      <c r="B7" s="21"/>
      <c r="C7" s="21"/>
      <c r="D7" s="21"/>
      <c r="E7" s="22"/>
      <c r="F7" s="4"/>
      <c r="G7" s="4"/>
      <c r="H7" s="151"/>
    </row>
    <row r="8" ht="12.0" customHeight="1">
      <c r="A8" s="384" t="s">
        <v>853</v>
      </c>
      <c r="B8" s="21"/>
      <c r="C8" s="21"/>
      <c r="D8" s="21"/>
      <c r="E8" s="22"/>
      <c r="F8" s="4"/>
      <c r="G8" s="4"/>
      <c r="H8" s="151"/>
      <c r="I8" s="160"/>
    </row>
    <row r="9" ht="12.0" customHeight="1">
      <c r="A9" s="385"/>
      <c r="B9" s="385"/>
      <c r="C9" s="385"/>
      <c r="D9" s="385"/>
      <c r="E9" s="385"/>
      <c r="F9" s="4"/>
      <c r="G9" s="4"/>
      <c r="H9" s="151"/>
      <c r="I9" s="160"/>
      <c r="J9" s="160"/>
      <c r="K9" s="160"/>
    </row>
    <row r="10" ht="12.0" customHeight="1">
      <c r="A10" s="386" t="s">
        <v>854</v>
      </c>
      <c r="B10" s="153"/>
      <c r="C10" s="153"/>
      <c r="D10" s="387"/>
      <c r="E10" s="388"/>
      <c r="F10" s="388"/>
      <c r="G10" s="389"/>
      <c r="H10" s="151"/>
    </row>
    <row r="11" ht="12.0" customHeight="1">
      <c r="A11" s="390" t="s">
        <v>855</v>
      </c>
      <c r="B11" s="153"/>
      <c r="C11" s="153"/>
      <c r="D11" s="73"/>
      <c r="E11" s="327"/>
      <c r="F11" s="327"/>
      <c r="G11" s="391"/>
      <c r="H11" s="151"/>
    </row>
    <row r="12" ht="12.0" customHeight="1">
      <c r="A12" s="392"/>
      <c r="B12" s="1"/>
      <c r="C12" s="1"/>
      <c r="D12" s="393" t="s">
        <v>856</v>
      </c>
      <c r="E12" s="327"/>
      <c r="F12" s="327"/>
      <c r="G12" s="391"/>
      <c r="H12" s="151"/>
    </row>
    <row r="13" ht="12.0" customHeight="1">
      <c r="A13" s="394"/>
      <c r="B13" s="395"/>
      <c r="C13" s="395"/>
      <c r="D13" s="396">
        <v>16.0</v>
      </c>
      <c r="E13" s="327"/>
      <c r="F13" s="327"/>
      <c r="G13" s="391"/>
      <c r="H13" s="151"/>
    </row>
    <row r="14" ht="14.25" customHeight="1">
      <c r="A14" s="397" t="str">
        <f>IF(B75="ERROR!", "ALERT! ATLEAST ONE REGION MUST BE PROTECTED WHEN ECC ENABLED!", "")</f>
        <v/>
      </c>
      <c r="B14" s="153"/>
      <c r="C14" s="153"/>
      <c r="D14" s="387"/>
      <c r="E14" s="327"/>
      <c r="F14" s="327"/>
      <c r="G14" s="391"/>
      <c r="H14" s="151"/>
    </row>
    <row r="15" ht="57.75" customHeight="1">
      <c r="A15" s="398" t="s">
        <v>857</v>
      </c>
      <c r="B15" s="399" t="s">
        <v>858</v>
      </c>
      <c r="C15" s="399" t="s">
        <v>859</v>
      </c>
      <c r="D15" s="400" t="s">
        <v>860</v>
      </c>
      <c r="E15" s="401" t="s">
        <v>861</v>
      </c>
      <c r="F15" s="367"/>
      <c r="G15" s="391"/>
      <c r="H15" s="151"/>
      <c r="I15" s="151"/>
    </row>
    <row r="16" ht="14.25" customHeight="1">
      <c r="A16" s="402" t="str">
        <f>"ECC Parity Region 0 Section"</f>
        <v>ECC Parity Region 0 Section</v>
      </c>
      <c r="B16" s="168" t="str">
        <f>"0x" &amp; DEC2HEX((B61),9)</f>
        <v>0x13E000000</v>
      </c>
      <c r="C16" s="168" t="str">
        <f>C52</f>
        <v>32MB</v>
      </c>
      <c r="D16" s="403" t="str">
        <f>IF(D34="UNPROTECTED","ACCESSIBLE","INACCESSIBLE")</f>
        <v>INACCESSIBLE</v>
      </c>
      <c r="E16" s="37"/>
      <c r="F16" s="34"/>
      <c r="G16" s="391"/>
      <c r="H16" s="151"/>
      <c r="I16" s="151"/>
    </row>
    <row r="17" ht="14.25" customHeight="1">
      <c r="A17" s="404" t="str">
        <f>"ECC Parity Region 1 Section"</f>
        <v>ECC Parity Region 1 Section</v>
      </c>
      <c r="B17" s="133" t="str">
        <f>"0x" &amp; DEC2HEX((B60),9)</f>
        <v>0x13C000000</v>
      </c>
      <c r="C17" s="133" t="str">
        <f>C52</f>
        <v>32MB</v>
      </c>
      <c r="D17" s="405" t="str">
        <f>IF(D33="UNPROTECTED","ACCESSIBLE","INACCESSIBLE")</f>
        <v>INACCESSIBLE</v>
      </c>
      <c r="E17" s="37"/>
      <c r="F17" s="34"/>
      <c r="G17" s="391"/>
      <c r="H17" s="151"/>
      <c r="I17" s="151"/>
    </row>
    <row r="18" ht="14.25" customHeight="1">
      <c r="A18" s="404" t="str">
        <f>"ECC Parity Region 2 Section"</f>
        <v>ECC Parity Region 2 Section</v>
      </c>
      <c r="B18" s="133" t="str">
        <f>"0x" &amp; DEC2HEX((B59),9)</f>
        <v>0x13A000000</v>
      </c>
      <c r="C18" s="133" t="str">
        <f>C52</f>
        <v>32MB</v>
      </c>
      <c r="D18" s="405" t="str">
        <f>IF(D32="UNPROTECTED","ACCESSIBLE","INACCESSIBLE")</f>
        <v>INACCESSIBLE</v>
      </c>
      <c r="E18" s="37"/>
      <c r="F18" s="34"/>
      <c r="G18" s="391"/>
      <c r="H18" s="151"/>
      <c r="I18" s="151"/>
    </row>
    <row r="19" ht="14.25" customHeight="1">
      <c r="A19" s="404" t="str">
        <f>"ECC Parity Region 3 Section"</f>
        <v>ECC Parity Region 3 Section</v>
      </c>
      <c r="B19" s="133" t="str">
        <f>"0x" &amp; DEC2HEX((B58),9)</f>
        <v>0x138000000</v>
      </c>
      <c r="C19" s="133" t="str">
        <f>C52</f>
        <v>32MB</v>
      </c>
      <c r="D19" s="405" t="str">
        <f>IF(D31="UNPROTECTED","ACCESSIBLE","INACCESSIBLE")</f>
        <v>INACCESSIBLE</v>
      </c>
      <c r="E19" s="37"/>
      <c r="F19" s="34"/>
      <c r="G19" s="391"/>
      <c r="H19" s="151"/>
      <c r="I19" s="151"/>
    </row>
    <row r="20" ht="14.25" customHeight="1">
      <c r="A20" s="404" t="str">
        <f>"ECC Parity Region 4 Section"</f>
        <v>ECC Parity Region 4 Section</v>
      </c>
      <c r="B20" s="133" t="str">
        <f>"0x" &amp; DEC2HEX((B57),9)</f>
        <v>0x136000000</v>
      </c>
      <c r="C20" s="133" t="str">
        <f>C52</f>
        <v>32MB</v>
      </c>
      <c r="D20" s="405" t="str">
        <f>IF(D30="UNPROTECTED","ACCESSIBLE","INACCESSIBLE")</f>
        <v>INACCESSIBLE</v>
      </c>
      <c r="E20" s="37"/>
      <c r="F20" s="34"/>
      <c r="G20" s="391"/>
      <c r="H20" s="151"/>
      <c r="I20" s="151"/>
    </row>
    <row r="21" ht="14.25" customHeight="1">
      <c r="A21" s="404" t="str">
        <f>"ECC Parity Region 5 Section"</f>
        <v>ECC Parity Region 5 Section</v>
      </c>
      <c r="B21" s="133" t="str">
        <f>"0x" &amp; DEC2HEX((B56),9)</f>
        <v>0x134000000</v>
      </c>
      <c r="C21" s="133" t="str">
        <f>C52</f>
        <v>32MB</v>
      </c>
      <c r="D21" s="405" t="str">
        <f>IF(D29="UNPROTECTED","ACCESSIBLE","INACCESSIBLE")</f>
        <v>INACCESSIBLE</v>
      </c>
      <c r="E21" s="37"/>
      <c r="F21" s="34"/>
      <c r="G21" s="391"/>
      <c r="H21" s="151"/>
      <c r="I21" s="151"/>
    </row>
    <row r="22" ht="14.25" customHeight="1">
      <c r="A22" s="404" t="str">
        <f>"ECC Parity Region 6 Section"</f>
        <v>ECC Parity Region 6 Section</v>
      </c>
      <c r="B22" s="133" t="str">
        <f>"0x" &amp; DEC2HEX((B55),9)</f>
        <v>0x132000000</v>
      </c>
      <c r="C22" s="133" t="str">
        <f>C52</f>
        <v>32MB</v>
      </c>
      <c r="D22" s="405" t="str">
        <f>IF(D28="UNPROTECTED","ACCESSIBLE","INACCESSIBLE")</f>
        <v>INACCESSIBLE</v>
      </c>
      <c r="E22" s="37"/>
      <c r="F22" s="34"/>
      <c r="G22" s="391"/>
      <c r="H22" s="151"/>
      <c r="I22" s="151"/>
    </row>
    <row r="23" ht="14.25" customHeight="1">
      <c r="A23" s="406" t="str">
        <f>IF(D13=8,"","Other Region ECC Parity Region Section")</f>
        <v>Other Region ECC Parity Region Section</v>
      </c>
      <c r="B23" s="133" t="str">
        <f>IF(D13=8,"","0x" &amp; DEC2HEX((B54),9))</f>
        <v>0x124000000</v>
      </c>
      <c r="C23" s="133" t="str">
        <f>IF(B51=0,"", C51)</f>
        <v>224MB</v>
      </c>
      <c r="D23" s="405" t="str">
        <f>IF(D13=8,"", IF(D27="UNPROTECTED","ACCESSIBLE","INACCESSIBLE"))</f>
        <v>INACCESSIBLE</v>
      </c>
      <c r="E23" s="37"/>
      <c r="F23" s="34"/>
      <c r="G23" s="391"/>
      <c r="H23" s="151"/>
      <c r="I23" s="151"/>
    </row>
    <row r="24" ht="15.0" customHeight="1">
      <c r="A24" s="407" t="s">
        <v>862</v>
      </c>
      <c r="B24" s="408" t="str">
        <f>"0x" &amp; DEC2HEX((B53),9)</f>
        <v>0x120000000</v>
      </c>
      <c r="C24" s="408" t="str">
        <f>C50</f>
        <v>64MB</v>
      </c>
      <c r="D24" s="409" t="s">
        <v>863</v>
      </c>
      <c r="E24" s="46"/>
      <c r="F24" s="48"/>
      <c r="G24" s="391"/>
      <c r="H24" s="410"/>
      <c r="I24" s="151"/>
    </row>
    <row r="25" ht="12.0" customHeight="1">
      <c r="A25" s="411" t="s">
        <v>864</v>
      </c>
      <c r="B25" s="153"/>
      <c r="C25" s="153"/>
      <c r="D25" s="153"/>
      <c r="E25" s="153"/>
      <c r="F25" s="73"/>
      <c r="G25" s="391"/>
      <c r="H25" s="151"/>
    </row>
    <row r="26" ht="54.0" customHeight="1">
      <c r="A26" s="398" t="s">
        <v>865</v>
      </c>
      <c r="B26" s="399" t="s">
        <v>866</v>
      </c>
      <c r="C26" s="399" t="s">
        <v>867</v>
      </c>
      <c r="D26" s="412" t="s">
        <v>868</v>
      </c>
      <c r="E26" s="413" t="s">
        <v>869</v>
      </c>
      <c r="F26" s="367"/>
      <c r="G26" s="391"/>
      <c r="H26" s="410"/>
      <c r="I26" s="151"/>
    </row>
    <row r="27" ht="14.25" customHeight="1">
      <c r="A27" s="402" t="str">
        <f>IF(D13=8, "N/A", "Other Region")</f>
        <v>Other Region</v>
      </c>
      <c r="B27" s="182" t="str">
        <f>IF(B44=0,"","0x"&amp;DEC2HEX((B47+(7*B43/8)),9))</f>
        <v>0x0B0000000</v>
      </c>
      <c r="C27" s="414" t="str">
        <f>IF(C44="0MB", "", C44)</f>
        <v>1792MB</v>
      </c>
      <c r="D27" s="415" t="s">
        <v>870</v>
      </c>
      <c r="E27" s="37"/>
      <c r="F27" s="34"/>
      <c r="G27" s="416"/>
      <c r="H27" s="151"/>
      <c r="I27" s="151"/>
    </row>
    <row r="28" ht="14.25" customHeight="1">
      <c r="A28" s="404" t="s">
        <v>871</v>
      </c>
      <c r="B28" s="342" t="str">
        <f>"0x" &amp; DEC2HEX((B47+(6*B43/8)),9)</f>
        <v>0x0A0000000</v>
      </c>
      <c r="C28" s="417" t="str">
        <f>C43</f>
        <v>256MB</v>
      </c>
      <c r="D28" s="418" t="s">
        <v>870</v>
      </c>
      <c r="E28" s="37"/>
      <c r="F28" s="34"/>
      <c r="G28" s="391"/>
      <c r="H28" s="151"/>
      <c r="I28" s="151"/>
    </row>
    <row r="29" ht="14.25" customHeight="1">
      <c r="A29" s="404" t="s">
        <v>872</v>
      </c>
      <c r="B29" s="342" t="str">
        <f>"0x" &amp; DEC2HEX((B47+(5*B43/8)),9)</f>
        <v>0x090000000</v>
      </c>
      <c r="C29" s="417" t="str">
        <f>C43</f>
        <v>256MB</v>
      </c>
      <c r="D29" s="418" t="s">
        <v>870</v>
      </c>
      <c r="E29" s="37"/>
      <c r="F29" s="34"/>
      <c r="G29" s="391"/>
      <c r="H29" s="151"/>
      <c r="I29" s="151"/>
    </row>
    <row r="30" ht="14.25" customHeight="1">
      <c r="A30" s="404" t="s">
        <v>873</v>
      </c>
      <c r="B30" s="342" t="str">
        <f>"0x" &amp; DEC2HEX((B47+(4*B43/8)),9)</f>
        <v>0x080000000</v>
      </c>
      <c r="C30" s="417" t="str">
        <f>C43</f>
        <v>256MB</v>
      </c>
      <c r="D30" s="418" t="s">
        <v>870</v>
      </c>
      <c r="E30" s="37"/>
      <c r="F30" s="34"/>
      <c r="G30" s="391"/>
      <c r="H30" s="151"/>
      <c r="I30" s="151"/>
    </row>
    <row r="31" ht="14.25" customHeight="1">
      <c r="A31" s="404" t="s">
        <v>874</v>
      </c>
      <c r="B31" s="342" t="str">
        <f>"0x" &amp; DEC2HEX((B47+(3*B43/8)),9)</f>
        <v>0x070000000</v>
      </c>
      <c r="C31" s="417" t="str">
        <f>C43</f>
        <v>256MB</v>
      </c>
      <c r="D31" s="418" t="s">
        <v>870</v>
      </c>
      <c r="E31" s="37"/>
      <c r="F31" s="34"/>
      <c r="G31" s="391"/>
      <c r="H31" s="151"/>
      <c r="I31" s="151"/>
    </row>
    <row r="32" ht="14.25" customHeight="1">
      <c r="A32" s="404" t="s">
        <v>875</v>
      </c>
      <c r="B32" s="342" t="str">
        <f>"0x" &amp; DEC2HEX((B47+(2*B43/8)),9)</f>
        <v>0x060000000</v>
      </c>
      <c r="C32" s="417" t="str">
        <f>C43</f>
        <v>256MB</v>
      </c>
      <c r="D32" s="418" t="s">
        <v>870</v>
      </c>
      <c r="E32" s="37"/>
      <c r="F32" s="34"/>
      <c r="G32" s="391"/>
      <c r="H32" s="151"/>
      <c r="I32" s="151"/>
    </row>
    <row r="33" ht="14.25" customHeight="1">
      <c r="A33" s="404" t="s">
        <v>876</v>
      </c>
      <c r="B33" s="342" t="str">
        <f>"0x" &amp; DEC2HEX((B47+(1*B43/8)),9)</f>
        <v>0x050000000</v>
      </c>
      <c r="C33" s="417" t="str">
        <f>C43</f>
        <v>256MB</v>
      </c>
      <c r="D33" s="418" t="s">
        <v>870</v>
      </c>
      <c r="E33" s="37"/>
      <c r="F33" s="34"/>
      <c r="G33" s="391"/>
      <c r="H33" s="151"/>
      <c r="I33" s="151"/>
    </row>
    <row r="34" ht="15.0" customHeight="1">
      <c r="A34" s="407" t="s">
        <v>877</v>
      </c>
      <c r="B34" s="419" t="str">
        <f>"0x"&amp;DEC2HEX(B47, 9)</f>
        <v>0x040000000</v>
      </c>
      <c r="C34" s="408" t="str">
        <f>C43</f>
        <v>256MB</v>
      </c>
      <c r="D34" s="420" t="s">
        <v>870</v>
      </c>
      <c r="E34" s="46"/>
      <c r="F34" s="48"/>
      <c r="G34" s="416"/>
      <c r="H34" s="151"/>
      <c r="I34" s="151"/>
    </row>
    <row r="35" ht="12.0" customHeight="1">
      <c r="A35" s="421" t="s">
        <v>878</v>
      </c>
      <c r="B35" s="323"/>
      <c r="C35" s="422" t="str">
        <f>B41/1024/1024/8&amp;"MB"&amp;" ("&amp;B41/1024/1024/1024&amp;"Gb)"</f>
        <v>4096MB (32Gb)</v>
      </c>
      <c r="D35" s="323"/>
      <c r="E35" s="327"/>
      <c r="F35" s="327"/>
      <c r="G35" s="391"/>
      <c r="H35" s="151"/>
    </row>
    <row r="36" ht="12.0" customHeight="1">
      <c r="A36" s="423" t="s">
        <v>879</v>
      </c>
      <c r="B36" s="424"/>
      <c r="C36" s="424"/>
      <c r="D36" s="424"/>
      <c r="E36" s="425"/>
      <c r="F36" s="425"/>
      <c r="G36" s="426"/>
      <c r="H36" s="151"/>
    </row>
    <row r="37" ht="12.0" customHeight="1">
      <c r="E37" s="151"/>
      <c r="F37" s="151"/>
      <c r="G37" s="151"/>
      <c r="H37" s="151"/>
    </row>
    <row r="38" ht="12.0" customHeight="1">
      <c r="E38" s="151"/>
      <c r="F38" s="151"/>
      <c r="G38" s="151"/>
      <c r="H38" s="151"/>
    </row>
    <row r="39" ht="12.0" customHeight="1">
      <c r="A39" s="427" t="s">
        <v>880</v>
      </c>
      <c r="B39" s="153"/>
      <c r="C39" s="153"/>
      <c r="D39" s="73"/>
      <c r="E39" s="6"/>
      <c r="F39" s="6"/>
      <c r="G39" s="6"/>
      <c r="H39" s="6"/>
    </row>
    <row r="40" ht="12.0" customHeight="1">
      <c r="A40" s="428"/>
      <c r="B40" s="429" t="s">
        <v>881</v>
      </c>
      <c r="C40" s="430" t="s">
        <v>882</v>
      </c>
      <c r="D40" s="431" t="s">
        <v>883</v>
      </c>
      <c r="E40" s="151"/>
      <c r="F40" s="151"/>
      <c r="G40" s="151"/>
      <c r="H40" s="151"/>
    </row>
    <row r="41" ht="12.0" customHeight="1">
      <c r="A41" s="432" t="s">
        <v>884</v>
      </c>
      <c r="B41" s="433">
        <f>(('Register Configuration'!C22) * (2^'Register Configuration'!C26) * (2^'Register Configuration'!C24) * (2^'Register Configuration'!C25) * ('Register Configuration'!C28))* IF('Register Configuration'!D83=0,1, 3/4)</f>
        <v>34359738368</v>
      </c>
      <c r="C41" s="434" t="str">
        <f t="shared" ref="C41:C44" si="1">B41/1024/1024/8 &amp; "MB"</f>
        <v>4096MB</v>
      </c>
      <c r="D41" s="435" t="str">
        <f t="shared" ref="D41:D44" si="2">"0x"&amp;DEC2HEX(B41/8, 9)</f>
        <v>0x100000000</v>
      </c>
      <c r="E41" s="151"/>
      <c r="F41" s="151"/>
      <c r="G41" s="151"/>
      <c r="H41" s="151"/>
    </row>
    <row r="42" ht="12.0" customHeight="1">
      <c r="A42" s="432" t="s">
        <v>885</v>
      </c>
      <c r="B42" s="433">
        <f>B41/8</f>
        <v>4294967296</v>
      </c>
      <c r="C42" s="436" t="str">
        <f t="shared" si="1"/>
        <v>512MB</v>
      </c>
      <c r="D42" s="435" t="str">
        <f t="shared" si="2"/>
        <v>0x020000000</v>
      </c>
      <c r="E42" s="151"/>
      <c r="F42" s="151"/>
      <c r="G42" s="151"/>
      <c r="H42" s="151"/>
    </row>
    <row r="43" ht="12.0" customHeight="1">
      <c r="A43" s="437" t="s">
        <v>886</v>
      </c>
      <c r="B43" s="433">
        <f>B41/D13</f>
        <v>2147483648</v>
      </c>
      <c r="C43" s="436" t="str">
        <f t="shared" si="1"/>
        <v>256MB</v>
      </c>
      <c r="D43" s="435" t="str">
        <f t="shared" si="2"/>
        <v>0x010000000</v>
      </c>
      <c r="E43" s="159"/>
      <c r="F43" s="151"/>
      <c r="G43" s="151"/>
      <c r="H43" s="151"/>
    </row>
    <row r="44" ht="12.0" customHeight="1">
      <c r="A44" s="438" t="s">
        <v>887</v>
      </c>
      <c r="B44" s="439">
        <f>B41- (B41/8) - (7*B43)</f>
        <v>15032385536</v>
      </c>
      <c r="C44" s="440" t="str">
        <f t="shared" si="1"/>
        <v>1792MB</v>
      </c>
      <c r="D44" s="441" t="str">
        <f t="shared" si="2"/>
        <v>0x070000000</v>
      </c>
      <c r="E44" s="151"/>
      <c r="F44" s="151"/>
      <c r="G44" s="151"/>
      <c r="H44" s="151"/>
    </row>
    <row r="45" ht="12.0" customHeight="1">
      <c r="E45" s="159"/>
      <c r="F45" s="151"/>
      <c r="G45" s="151"/>
      <c r="H45" s="151"/>
    </row>
    <row r="46" ht="12.0" customHeight="1">
      <c r="A46" s="442" t="s">
        <v>888</v>
      </c>
      <c r="B46" s="443" t="s">
        <v>881</v>
      </c>
      <c r="C46" s="444" t="s">
        <v>883</v>
      </c>
      <c r="E46" s="151"/>
      <c r="F46" s="151"/>
      <c r="G46" s="151"/>
      <c r="H46" s="151"/>
    </row>
    <row r="47" ht="12.0" customHeight="1">
      <c r="A47" s="438" t="s">
        <v>889</v>
      </c>
      <c r="B47" s="445">
        <f>1*1024*1024*1024</f>
        <v>1073741824</v>
      </c>
      <c r="C47" s="446" t="str">
        <f>"0x"&amp;DEC2HEX(B47, 9)</f>
        <v>0x040000000</v>
      </c>
      <c r="E47" s="151"/>
      <c r="F47" s="151"/>
      <c r="G47" s="151"/>
      <c r="H47" s="151"/>
    </row>
    <row r="48" ht="12.0" customHeight="1">
      <c r="E48" s="151"/>
      <c r="F48" s="151"/>
      <c r="G48" s="151"/>
      <c r="H48" s="151"/>
    </row>
    <row r="49" ht="12.0" customHeight="1">
      <c r="A49" s="447" t="s">
        <v>890</v>
      </c>
      <c r="B49" s="24"/>
      <c r="C49" s="10"/>
    </row>
    <row r="50" ht="12.0" customHeight="1">
      <c r="A50" s="448" t="s">
        <v>891</v>
      </c>
      <c r="B50" s="449">
        <f>B41/64/8</f>
        <v>67108864</v>
      </c>
      <c r="C50" s="450" t="str">
        <f t="shared" ref="C50:C52" si="3">B50/1024/1024 &amp;"MB"</f>
        <v>64MB</v>
      </c>
    </row>
    <row r="51" ht="12.0" customHeight="1">
      <c r="A51" s="448" t="s">
        <v>892</v>
      </c>
      <c r="B51" s="449">
        <f>B44/8/8</f>
        <v>234881024</v>
      </c>
      <c r="C51" s="450" t="str">
        <f t="shared" si="3"/>
        <v>224MB</v>
      </c>
    </row>
    <row r="52" ht="12.0" customHeight="1">
      <c r="A52" s="448" t="s">
        <v>893</v>
      </c>
      <c r="B52" s="449">
        <f>B43/8/8</f>
        <v>33554432</v>
      </c>
      <c r="C52" s="450" t="str">
        <f t="shared" si="3"/>
        <v>32MB</v>
      </c>
    </row>
    <row r="53" ht="12.0" customHeight="1">
      <c r="A53" s="448" t="s">
        <v>894</v>
      </c>
      <c r="B53" s="449">
        <f>B47 + B41/8 - B41/8/8</f>
        <v>4831838208</v>
      </c>
      <c r="C53" s="26"/>
    </row>
    <row r="54" ht="12.0" customHeight="1">
      <c r="A54" s="448" t="s">
        <v>895</v>
      </c>
      <c r="B54" s="449">
        <f t="shared" ref="B54:B56" si="4">B53+ B50</f>
        <v>4898947072</v>
      </c>
      <c r="C54" s="26"/>
    </row>
    <row r="55" ht="12.0" customHeight="1">
      <c r="A55" s="448" t="s">
        <v>896</v>
      </c>
      <c r="B55" s="449">
        <f t="shared" si="4"/>
        <v>5133828096</v>
      </c>
      <c r="C55" s="26"/>
    </row>
    <row r="56" ht="12.0" customHeight="1">
      <c r="A56" s="448" t="s">
        <v>897</v>
      </c>
      <c r="B56" s="449">
        <f t="shared" si="4"/>
        <v>5167382528</v>
      </c>
    </row>
    <row r="57" ht="12.0" customHeight="1">
      <c r="A57" s="448" t="s">
        <v>898</v>
      </c>
      <c r="B57" s="449">
        <f>B56+ B52</f>
        <v>5200936960</v>
      </c>
    </row>
    <row r="58" ht="12.0" customHeight="1">
      <c r="A58" s="448" t="s">
        <v>899</v>
      </c>
      <c r="B58" s="449">
        <f>B57+ B52</f>
        <v>5234491392</v>
      </c>
    </row>
    <row r="59" ht="12.0" customHeight="1">
      <c r="A59" s="448" t="s">
        <v>900</v>
      </c>
      <c r="B59" s="449">
        <f>B58+ B52</f>
        <v>5268045824</v>
      </c>
    </row>
    <row r="60" ht="12.0" customHeight="1">
      <c r="A60" s="448" t="s">
        <v>901</v>
      </c>
      <c r="B60" s="449">
        <f>B59+ B52</f>
        <v>5301600256</v>
      </c>
    </row>
    <row r="61" ht="12.0" customHeight="1">
      <c r="A61" s="448" t="s">
        <v>902</v>
      </c>
      <c r="B61" s="449">
        <f>B60+ B52</f>
        <v>5335154688</v>
      </c>
    </row>
    <row r="62" ht="12.0" customHeight="1"/>
    <row r="63" ht="12.0" customHeight="1">
      <c r="A63" s="451" t="s">
        <v>903</v>
      </c>
      <c r="B63" s="369"/>
      <c r="C63" s="94"/>
    </row>
    <row r="64" ht="12.0" customHeight="1">
      <c r="A64" s="452" t="s">
        <v>904</v>
      </c>
      <c r="B64" s="449">
        <f>LOG(ECC_Config_BinaryAligned!D13,2)-3</f>
        <v>1</v>
      </c>
      <c r="C64" s="453"/>
    </row>
    <row r="65" ht="12.0" customHeight="1">
      <c r="A65" s="454"/>
      <c r="B65" s="455"/>
      <c r="C65" s="456"/>
    </row>
    <row r="66" ht="12.0" customHeight="1">
      <c r="A66" s="452" t="s">
        <v>905</v>
      </c>
      <c r="B66" s="449">
        <f>IF(D13=8,0,IF(D27="PROTECTED",1,0))</f>
        <v>1</v>
      </c>
      <c r="C66" s="457"/>
    </row>
    <row r="67" ht="12.0" customHeight="1">
      <c r="A67" s="458" t="s">
        <v>906</v>
      </c>
      <c r="B67" s="449">
        <f>IF(D28="PROTECTED", BITLSHIFT(1,6), 0)</f>
        <v>64</v>
      </c>
      <c r="C67" s="459" t="str">
        <f t="shared" ref="C67:C75" si="5">"0x"&amp;DEC2HEX(B67,7)</f>
        <v>0x0000040</v>
      </c>
    </row>
    <row r="68" ht="12.0" customHeight="1">
      <c r="A68" s="458" t="s">
        <v>907</v>
      </c>
      <c r="B68" s="449">
        <f>IF(D29="PROTECTED", BITLSHIFT(1,5), 0)</f>
        <v>32</v>
      </c>
      <c r="C68" s="459" t="str">
        <f t="shared" si="5"/>
        <v>0x0000020</v>
      </c>
    </row>
    <row r="69" ht="12.0" customHeight="1">
      <c r="A69" s="458" t="s">
        <v>908</v>
      </c>
      <c r="B69" s="449">
        <f>IF(D30="PROTECTED", BITLSHIFT(1,4), 0)</f>
        <v>16</v>
      </c>
      <c r="C69" s="459" t="str">
        <f t="shared" si="5"/>
        <v>0x0000010</v>
      </c>
    </row>
    <row r="70" ht="12.0" customHeight="1">
      <c r="A70" s="458" t="s">
        <v>909</v>
      </c>
      <c r="B70" s="449">
        <f>IF(D31="PROTECTED", BITLSHIFT(1,3), 0)</f>
        <v>8</v>
      </c>
      <c r="C70" s="459" t="str">
        <f t="shared" si="5"/>
        <v>0x0000008</v>
      </c>
    </row>
    <row r="71" ht="12.0" customHeight="1">
      <c r="A71" s="458" t="s">
        <v>910</v>
      </c>
      <c r="B71" s="449">
        <f>IF(D32="PROTECTED", BITLSHIFT(1,2), 0)</f>
        <v>4</v>
      </c>
      <c r="C71" s="459" t="str">
        <f t="shared" si="5"/>
        <v>0x0000004</v>
      </c>
    </row>
    <row r="72" ht="12.0" customHeight="1">
      <c r="A72" s="458" t="s">
        <v>911</v>
      </c>
      <c r="B72" s="449">
        <f>IF(D33="PROTECTED", BITLSHIFT(1,1), 0)</f>
        <v>2</v>
      </c>
      <c r="C72" s="459" t="str">
        <f t="shared" si="5"/>
        <v>0x0000002</v>
      </c>
    </row>
    <row r="73" ht="12.0" customHeight="1">
      <c r="A73" s="458" t="s">
        <v>912</v>
      </c>
      <c r="B73" s="449">
        <f>IF(D34="PROTECTED", BITLSHIFT(1,0), 0)</f>
        <v>1</v>
      </c>
      <c r="C73" s="459" t="str">
        <f t="shared" si="5"/>
        <v>0x0000001</v>
      </c>
    </row>
    <row r="74" ht="12.0" customHeight="1">
      <c r="A74" s="458" t="s">
        <v>913</v>
      </c>
      <c r="B74" s="449">
        <f>SUM(B67:B73)</f>
        <v>127</v>
      </c>
      <c r="C74" s="459" t="str">
        <f t="shared" si="5"/>
        <v>0x000007F</v>
      </c>
    </row>
    <row r="75" ht="12.0" customHeight="1">
      <c r="A75" s="460" t="s">
        <v>914</v>
      </c>
      <c r="B75" s="461">
        <f>IF(AND('Register Configuration'!G27="ENABLED", (B74=0)),"ERROR!", B74)</f>
        <v>127</v>
      </c>
      <c r="C75" s="462" t="str">
        <f t="shared" si="5"/>
        <v>0x000007F</v>
      </c>
    </row>
    <row r="76" ht="12.0" customHeight="1">
      <c r="E76" s="151"/>
      <c r="F76" s="151"/>
      <c r="G76" s="151"/>
      <c r="H76" s="151"/>
    </row>
    <row r="77" ht="12.0" customHeight="1">
      <c r="E77" s="151"/>
      <c r="F77" s="151"/>
      <c r="G77" s="151"/>
      <c r="H77" s="151"/>
    </row>
    <row r="78" ht="12.0" customHeight="1">
      <c r="E78" s="151"/>
      <c r="F78" s="151"/>
      <c r="G78" s="151"/>
      <c r="H78" s="151"/>
    </row>
    <row r="79" ht="12.0" customHeight="1">
      <c r="E79" s="151"/>
      <c r="F79" s="151"/>
      <c r="G79" s="151"/>
      <c r="H79" s="151"/>
    </row>
    <row r="80" ht="12.0" customHeight="1">
      <c r="E80" s="151"/>
      <c r="F80" s="151"/>
      <c r="G80" s="151"/>
      <c r="H80" s="151"/>
    </row>
    <row r="81" ht="12.0" customHeight="1">
      <c r="E81" s="151"/>
      <c r="F81" s="151"/>
      <c r="G81" s="151"/>
      <c r="H81" s="151"/>
    </row>
    <row r="82" ht="12.0" customHeight="1">
      <c r="E82" s="151"/>
      <c r="F82" s="151"/>
      <c r="G82" s="151"/>
      <c r="H82" s="151"/>
    </row>
    <row r="83" ht="12.0" customHeight="1">
      <c r="E83" s="151"/>
      <c r="F83" s="151"/>
      <c r="G83" s="151"/>
      <c r="H83" s="151"/>
    </row>
    <row r="84" ht="12.0" customHeight="1">
      <c r="E84" s="151"/>
      <c r="F84" s="151"/>
      <c r="G84" s="151"/>
      <c r="H84" s="151"/>
    </row>
    <row r="85" ht="12.0" customHeight="1">
      <c r="E85" s="151"/>
      <c r="F85" s="151"/>
      <c r="G85" s="151"/>
      <c r="H85" s="151"/>
    </row>
    <row r="86" ht="12.0" customHeight="1">
      <c r="E86" s="151"/>
      <c r="F86" s="151"/>
      <c r="G86" s="151"/>
      <c r="H86" s="151"/>
    </row>
    <row r="87" ht="12.0" customHeight="1">
      <c r="E87" s="151"/>
      <c r="F87" s="151"/>
      <c r="G87" s="151"/>
      <c r="H87" s="151"/>
    </row>
    <row r="88" ht="12.0" customHeight="1">
      <c r="E88" s="151"/>
      <c r="F88" s="151"/>
      <c r="G88" s="151"/>
      <c r="H88" s="151"/>
    </row>
    <row r="89" ht="12.0" customHeight="1">
      <c r="E89" s="151"/>
      <c r="F89" s="151"/>
      <c r="G89" s="151"/>
      <c r="H89" s="151"/>
    </row>
    <row r="90" ht="12.0" customHeight="1">
      <c r="E90" s="151"/>
      <c r="F90" s="151"/>
      <c r="G90" s="151"/>
      <c r="H90" s="151"/>
    </row>
    <row r="91" ht="12.0" customHeight="1">
      <c r="E91" s="151"/>
      <c r="F91" s="151"/>
      <c r="G91" s="151"/>
      <c r="H91" s="151"/>
    </row>
    <row r="92" ht="12.0" customHeight="1">
      <c r="E92" s="151"/>
      <c r="F92" s="151"/>
      <c r="G92" s="151"/>
      <c r="H92" s="151"/>
    </row>
    <row r="93" ht="12.0" customHeight="1">
      <c r="E93" s="151"/>
      <c r="F93" s="151"/>
      <c r="G93" s="151"/>
      <c r="H93" s="151"/>
    </row>
    <row r="94" ht="12.0" customHeight="1">
      <c r="E94" s="151"/>
      <c r="F94" s="151"/>
      <c r="G94" s="151"/>
      <c r="H94" s="151"/>
    </row>
    <row r="95" ht="12.0" customHeight="1">
      <c r="E95" s="151"/>
      <c r="F95" s="151"/>
      <c r="G95" s="151"/>
      <c r="H95" s="151"/>
    </row>
    <row r="96" ht="12.0" customHeight="1">
      <c r="E96" s="151"/>
      <c r="F96" s="151"/>
      <c r="G96" s="151"/>
      <c r="H96" s="151"/>
    </row>
    <row r="97" ht="12.0" customHeight="1">
      <c r="E97" s="151"/>
      <c r="F97" s="151"/>
      <c r="G97" s="151"/>
      <c r="H97" s="151"/>
    </row>
    <row r="98" ht="12.0" customHeight="1">
      <c r="E98" s="151"/>
      <c r="F98" s="151"/>
      <c r="G98" s="151"/>
      <c r="H98" s="151"/>
    </row>
    <row r="99" ht="12.0" customHeight="1">
      <c r="E99" s="151"/>
      <c r="F99" s="151"/>
      <c r="G99" s="151"/>
      <c r="H99" s="151"/>
    </row>
    <row r="100" ht="12.0" customHeight="1">
      <c r="E100" s="151"/>
      <c r="F100" s="151"/>
      <c r="G100" s="151"/>
      <c r="H100" s="151"/>
    </row>
    <row r="101" ht="12.0" customHeight="1">
      <c r="E101" s="151"/>
      <c r="F101" s="151"/>
      <c r="G101" s="151"/>
      <c r="H101" s="151"/>
    </row>
    <row r="102" ht="12.0" customHeight="1">
      <c r="E102" s="151"/>
      <c r="F102" s="151"/>
      <c r="G102" s="151"/>
      <c r="H102" s="151"/>
    </row>
    <row r="103" ht="12.0" customHeight="1">
      <c r="E103" s="151"/>
      <c r="F103" s="151"/>
      <c r="G103" s="151"/>
      <c r="H103" s="151"/>
    </row>
    <row r="104" ht="12.0" customHeight="1">
      <c r="E104" s="151"/>
      <c r="F104" s="151"/>
      <c r="G104" s="151"/>
      <c r="H104" s="151"/>
    </row>
    <row r="105" ht="12.0" customHeight="1">
      <c r="E105" s="151"/>
      <c r="F105" s="151"/>
      <c r="G105" s="151"/>
      <c r="H105" s="151"/>
    </row>
    <row r="106" ht="12.0" customHeight="1">
      <c r="E106" s="151"/>
      <c r="F106" s="151"/>
      <c r="G106" s="151"/>
      <c r="H106" s="151"/>
    </row>
    <row r="107" ht="12.0" customHeight="1">
      <c r="E107" s="151"/>
      <c r="F107" s="151"/>
      <c r="G107" s="151"/>
      <c r="H107" s="151"/>
    </row>
    <row r="108" ht="12.0" customHeight="1">
      <c r="E108" s="151"/>
      <c r="F108" s="151"/>
      <c r="G108" s="151"/>
      <c r="H108" s="151"/>
    </row>
    <row r="109" ht="12.0" customHeight="1">
      <c r="E109" s="151"/>
      <c r="F109" s="151"/>
      <c r="G109" s="151"/>
      <c r="H109" s="151"/>
    </row>
    <row r="110" ht="12.0" customHeight="1">
      <c r="E110" s="151"/>
      <c r="F110" s="151"/>
      <c r="G110" s="151"/>
      <c r="H110" s="151"/>
    </row>
    <row r="111" ht="12.0" customHeight="1">
      <c r="E111" s="151"/>
      <c r="F111" s="151"/>
      <c r="G111" s="151"/>
      <c r="H111" s="151"/>
    </row>
    <row r="112" ht="12.0" customHeight="1">
      <c r="E112" s="151"/>
      <c r="F112" s="151"/>
      <c r="G112" s="151"/>
      <c r="H112" s="151"/>
    </row>
    <row r="113" ht="12.0" customHeight="1">
      <c r="E113" s="151"/>
      <c r="F113" s="151"/>
      <c r="G113" s="151"/>
      <c r="H113" s="151"/>
    </row>
    <row r="114" ht="12.0" customHeight="1">
      <c r="E114" s="151"/>
      <c r="F114" s="151"/>
      <c r="G114" s="151"/>
      <c r="H114" s="151"/>
    </row>
    <row r="115" ht="12.0" customHeight="1">
      <c r="E115" s="151"/>
      <c r="F115" s="151"/>
      <c r="G115" s="151"/>
      <c r="H115" s="151"/>
    </row>
    <row r="116" ht="12.0" customHeight="1">
      <c r="E116" s="151"/>
      <c r="F116" s="151"/>
      <c r="G116" s="151"/>
      <c r="H116" s="151"/>
    </row>
    <row r="117" ht="12.0" customHeight="1">
      <c r="E117" s="151"/>
      <c r="F117" s="151"/>
      <c r="G117" s="151"/>
      <c r="H117" s="151"/>
    </row>
    <row r="118" ht="12.0" customHeight="1">
      <c r="E118" s="151"/>
      <c r="F118" s="151"/>
      <c r="G118" s="151"/>
      <c r="H118" s="151"/>
    </row>
    <row r="119" ht="12.0" customHeight="1">
      <c r="E119" s="151"/>
      <c r="F119" s="151"/>
      <c r="G119" s="151"/>
      <c r="H119" s="151"/>
    </row>
    <row r="120" ht="12.0" customHeight="1">
      <c r="E120" s="151"/>
      <c r="F120" s="151"/>
      <c r="G120" s="151"/>
      <c r="H120" s="151"/>
    </row>
    <row r="121" ht="12.0" customHeight="1">
      <c r="E121" s="151"/>
      <c r="F121" s="151"/>
      <c r="G121" s="151"/>
      <c r="H121" s="151"/>
    </row>
    <row r="122" ht="12.0" customHeight="1">
      <c r="E122" s="151"/>
      <c r="F122" s="151"/>
      <c r="G122" s="151"/>
      <c r="H122" s="151"/>
    </row>
    <row r="123" ht="12.0" customHeight="1">
      <c r="E123" s="151"/>
      <c r="F123" s="151"/>
      <c r="G123" s="151"/>
      <c r="H123" s="151"/>
    </row>
    <row r="124" ht="12.0" customHeight="1">
      <c r="E124" s="151"/>
      <c r="F124" s="151"/>
      <c r="G124" s="151"/>
      <c r="H124" s="151"/>
    </row>
    <row r="125" ht="12.0" customHeight="1">
      <c r="E125" s="151"/>
      <c r="F125" s="151"/>
      <c r="G125" s="151"/>
      <c r="H125" s="151"/>
    </row>
    <row r="126" ht="12.0" customHeight="1">
      <c r="E126" s="151"/>
      <c r="F126" s="151"/>
      <c r="G126" s="151"/>
      <c r="H126" s="151"/>
    </row>
    <row r="127" ht="12.0" customHeight="1">
      <c r="E127" s="151"/>
      <c r="F127" s="151"/>
      <c r="G127" s="151"/>
      <c r="H127" s="151"/>
    </row>
    <row r="128" ht="12.0" customHeight="1">
      <c r="E128" s="151"/>
      <c r="F128" s="151"/>
      <c r="G128" s="151"/>
      <c r="H128" s="151"/>
    </row>
    <row r="129" ht="12.0" customHeight="1">
      <c r="E129" s="151"/>
      <c r="F129" s="151"/>
      <c r="G129" s="151"/>
      <c r="H129" s="151"/>
    </row>
    <row r="130" ht="12.0" customHeight="1">
      <c r="E130" s="151"/>
      <c r="F130" s="151"/>
      <c r="G130" s="151"/>
      <c r="H130" s="151"/>
    </row>
    <row r="131" ht="12.0" customHeight="1">
      <c r="E131" s="151"/>
      <c r="F131" s="151"/>
      <c r="G131" s="151"/>
      <c r="H131" s="151"/>
    </row>
    <row r="132" ht="12.0" customHeight="1">
      <c r="E132" s="151"/>
      <c r="F132" s="151"/>
      <c r="G132" s="151"/>
      <c r="H132" s="151"/>
    </row>
    <row r="133" ht="12.0" customHeight="1">
      <c r="E133" s="151"/>
      <c r="F133" s="151"/>
      <c r="G133" s="151"/>
      <c r="H133" s="151"/>
    </row>
    <row r="134" ht="12.0" customHeight="1">
      <c r="E134" s="151"/>
      <c r="F134" s="151"/>
      <c r="G134" s="151"/>
      <c r="H134" s="151"/>
    </row>
    <row r="135" ht="12.0" customHeight="1">
      <c r="E135" s="151"/>
      <c r="F135" s="151"/>
      <c r="G135" s="151"/>
      <c r="H135" s="151"/>
    </row>
    <row r="136" ht="12.0" customHeight="1">
      <c r="E136" s="151"/>
      <c r="F136" s="151"/>
      <c r="G136" s="151"/>
      <c r="H136" s="151"/>
    </row>
    <row r="137" ht="12.0" customHeight="1">
      <c r="E137" s="151"/>
      <c r="F137" s="151"/>
      <c r="G137" s="151"/>
      <c r="H137" s="151"/>
    </row>
    <row r="138" ht="12.0" customHeight="1">
      <c r="E138" s="151"/>
      <c r="F138" s="151"/>
      <c r="G138" s="151"/>
      <c r="H138" s="151"/>
    </row>
    <row r="139" ht="12.0" customHeight="1">
      <c r="E139" s="151"/>
      <c r="F139" s="151"/>
      <c r="G139" s="151"/>
      <c r="H139" s="151"/>
    </row>
    <row r="140" ht="12.0" customHeight="1">
      <c r="E140" s="151"/>
      <c r="F140" s="151"/>
      <c r="G140" s="151"/>
      <c r="H140" s="151"/>
    </row>
    <row r="141" ht="12.0" customHeight="1">
      <c r="E141" s="151"/>
      <c r="F141" s="151"/>
      <c r="G141" s="151"/>
      <c r="H141" s="151"/>
    </row>
    <row r="142" ht="12.0" customHeight="1">
      <c r="E142" s="151"/>
      <c r="F142" s="151"/>
      <c r="G142" s="151"/>
      <c r="H142" s="151"/>
    </row>
    <row r="143" ht="12.0" customHeight="1">
      <c r="E143" s="151"/>
      <c r="F143" s="151"/>
      <c r="G143" s="151"/>
      <c r="H143" s="151"/>
    </row>
    <row r="144" ht="12.0" customHeight="1">
      <c r="E144" s="151"/>
      <c r="F144" s="151"/>
      <c r="G144" s="151"/>
      <c r="H144" s="151"/>
    </row>
    <row r="145" ht="12.0" customHeight="1">
      <c r="E145" s="151"/>
      <c r="F145" s="151"/>
      <c r="G145" s="151"/>
      <c r="H145" s="151"/>
    </row>
    <row r="146" ht="12.0" customHeight="1">
      <c r="E146" s="151"/>
      <c r="F146" s="151"/>
      <c r="G146" s="151"/>
      <c r="H146" s="151"/>
    </row>
    <row r="147" ht="12.0" customHeight="1">
      <c r="E147" s="151"/>
      <c r="F147" s="151"/>
      <c r="G147" s="151"/>
      <c r="H147" s="151"/>
    </row>
    <row r="148" ht="12.0" customHeight="1">
      <c r="E148" s="151"/>
      <c r="F148" s="151"/>
      <c r="G148" s="151"/>
      <c r="H148" s="151"/>
    </row>
    <row r="149" ht="12.0" customHeight="1">
      <c r="E149" s="151"/>
      <c r="F149" s="151"/>
      <c r="G149" s="151"/>
      <c r="H149" s="151"/>
    </row>
    <row r="150" ht="12.0" customHeight="1">
      <c r="E150" s="151"/>
      <c r="F150" s="151"/>
      <c r="G150" s="151"/>
      <c r="H150" s="151"/>
    </row>
    <row r="151" ht="12.0" customHeight="1">
      <c r="E151" s="151"/>
      <c r="F151" s="151"/>
      <c r="G151" s="151"/>
      <c r="H151" s="151"/>
    </row>
    <row r="152" ht="12.0" customHeight="1">
      <c r="E152" s="151"/>
      <c r="F152" s="151"/>
      <c r="G152" s="151"/>
      <c r="H152" s="151"/>
    </row>
    <row r="153" ht="12.0" customHeight="1">
      <c r="E153" s="151"/>
      <c r="F153" s="151"/>
      <c r="G153" s="151"/>
      <c r="H153" s="151"/>
    </row>
    <row r="154" ht="12.0" customHeight="1">
      <c r="E154" s="151"/>
      <c r="F154" s="151"/>
      <c r="G154" s="151"/>
      <c r="H154" s="151"/>
    </row>
    <row r="155" ht="12.0" customHeight="1">
      <c r="E155" s="151"/>
      <c r="F155" s="151"/>
      <c r="G155" s="151"/>
      <c r="H155" s="151"/>
    </row>
    <row r="156" ht="12.0" customHeight="1">
      <c r="E156" s="151"/>
      <c r="F156" s="151"/>
      <c r="G156" s="151"/>
      <c r="H156" s="151"/>
    </row>
    <row r="157" ht="12.0" customHeight="1">
      <c r="E157" s="151"/>
      <c r="F157" s="151"/>
      <c r="G157" s="151"/>
      <c r="H157" s="151"/>
    </row>
    <row r="158" ht="12.0" customHeight="1">
      <c r="E158" s="151"/>
      <c r="F158" s="151"/>
      <c r="G158" s="151"/>
      <c r="H158" s="151"/>
    </row>
    <row r="159" ht="12.0" customHeight="1">
      <c r="E159" s="151"/>
      <c r="F159" s="151"/>
      <c r="G159" s="151"/>
      <c r="H159" s="151"/>
    </row>
    <row r="160" ht="12.0" customHeight="1">
      <c r="E160" s="151"/>
      <c r="F160" s="151"/>
      <c r="G160" s="151"/>
      <c r="H160" s="151"/>
    </row>
    <row r="161" ht="12.0" customHeight="1">
      <c r="E161" s="151"/>
      <c r="F161" s="151"/>
      <c r="G161" s="151"/>
      <c r="H161" s="151"/>
    </row>
    <row r="162" ht="12.0" customHeight="1">
      <c r="E162" s="151"/>
      <c r="F162" s="151"/>
      <c r="G162" s="151"/>
      <c r="H162" s="151"/>
    </row>
    <row r="163" ht="12.0" customHeight="1">
      <c r="E163" s="151"/>
      <c r="F163" s="151"/>
      <c r="G163" s="151"/>
      <c r="H163" s="151"/>
    </row>
    <row r="164" ht="12.0" customHeight="1">
      <c r="E164" s="151"/>
      <c r="F164" s="151"/>
      <c r="G164" s="151"/>
      <c r="H164" s="151"/>
    </row>
    <row r="165" ht="12.0" customHeight="1">
      <c r="E165" s="151"/>
      <c r="F165" s="151"/>
      <c r="G165" s="151"/>
      <c r="H165" s="151"/>
    </row>
    <row r="166" ht="12.0" customHeight="1">
      <c r="E166" s="151"/>
      <c r="F166" s="151"/>
      <c r="G166" s="151"/>
      <c r="H166" s="151"/>
    </row>
    <row r="167" ht="12.0" customHeight="1">
      <c r="E167" s="151"/>
      <c r="F167" s="151"/>
      <c r="G167" s="151"/>
      <c r="H167" s="151"/>
    </row>
    <row r="168" ht="12.0" customHeight="1">
      <c r="E168" s="151"/>
      <c r="F168" s="151"/>
      <c r="G168" s="151"/>
      <c r="H168" s="151"/>
    </row>
    <row r="169" ht="12.0" customHeight="1">
      <c r="E169" s="151"/>
      <c r="F169" s="151"/>
      <c r="G169" s="151"/>
      <c r="H169" s="151"/>
    </row>
    <row r="170" ht="12.0" customHeight="1">
      <c r="E170" s="151"/>
      <c r="F170" s="151"/>
      <c r="G170" s="151"/>
      <c r="H170" s="151"/>
    </row>
    <row r="171" ht="12.0" customHeight="1">
      <c r="E171" s="151"/>
      <c r="F171" s="151"/>
      <c r="G171" s="151"/>
      <c r="H171" s="151"/>
    </row>
    <row r="172" ht="12.0" customHeight="1">
      <c r="E172" s="151"/>
      <c r="F172" s="151"/>
      <c r="G172" s="151"/>
      <c r="H172" s="151"/>
    </row>
    <row r="173" ht="12.0" customHeight="1">
      <c r="E173" s="151"/>
      <c r="F173" s="151"/>
      <c r="G173" s="151"/>
      <c r="H173" s="151"/>
    </row>
    <row r="174" ht="12.0" customHeight="1">
      <c r="E174" s="151"/>
      <c r="F174" s="151"/>
      <c r="G174" s="151"/>
      <c r="H174" s="151"/>
    </row>
    <row r="175" ht="12.0" customHeight="1">
      <c r="E175" s="151"/>
      <c r="F175" s="151"/>
      <c r="G175" s="151"/>
      <c r="H175" s="151"/>
    </row>
    <row r="176" ht="12.0" customHeight="1">
      <c r="E176" s="151"/>
      <c r="F176" s="151"/>
      <c r="G176" s="151"/>
      <c r="H176" s="151"/>
    </row>
    <row r="177" ht="12.0" customHeight="1">
      <c r="E177" s="151"/>
      <c r="F177" s="151"/>
      <c r="G177" s="151"/>
      <c r="H177" s="151"/>
    </row>
    <row r="178" ht="12.0" customHeight="1">
      <c r="E178" s="151"/>
      <c r="F178" s="151"/>
      <c r="G178" s="151"/>
      <c r="H178" s="151"/>
    </row>
    <row r="179" ht="12.0" customHeight="1">
      <c r="E179" s="151"/>
      <c r="F179" s="151"/>
      <c r="G179" s="151"/>
      <c r="H179" s="151"/>
    </row>
    <row r="180" ht="12.0" customHeight="1">
      <c r="E180" s="151"/>
      <c r="F180" s="151"/>
      <c r="G180" s="151"/>
      <c r="H180" s="151"/>
    </row>
    <row r="181" ht="12.0" customHeight="1">
      <c r="E181" s="151"/>
      <c r="F181" s="151"/>
      <c r="G181" s="151"/>
      <c r="H181" s="151"/>
    </row>
    <row r="182" ht="12.0" customHeight="1">
      <c r="E182" s="151"/>
      <c r="F182" s="151"/>
      <c r="G182" s="151"/>
      <c r="H182" s="151"/>
    </row>
    <row r="183" ht="12.0" customHeight="1">
      <c r="E183" s="151"/>
      <c r="F183" s="151"/>
      <c r="G183" s="151"/>
      <c r="H183" s="151"/>
    </row>
    <row r="184" ht="12.0" customHeight="1">
      <c r="E184" s="151"/>
      <c r="F184" s="151"/>
      <c r="G184" s="151"/>
      <c r="H184" s="151"/>
    </row>
    <row r="185" ht="12.0" customHeight="1">
      <c r="E185" s="151"/>
      <c r="F185" s="151"/>
      <c r="G185" s="151"/>
      <c r="H185" s="151"/>
    </row>
    <row r="186" ht="12.0" customHeight="1">
      <c r="E186" s="151"/>
      <c r="F186" s="151"/>
      <c r="G186" s="151"/>
      <c r="H186" s="151"/>
    </row>
    <row r="187" ht="12.0" customHeight="1">
      <c r="E187" s="151"/>
      <c r="F187" s="151"/>
      <c r="G187" s="151"/>
      <c r="H187" s="151"/>
    </row>
    <row r="188" ht="12.0" customHeight="1">
      <c r="E188" s="151"/>
      <c r="F188" s="151"/>
      <c r="G188" s="151"/>
      <c r="H188" s="151"/>
    </row>
    <row r="189" ht="12.0" customHeight="1">
      <c r="E189" s="151"/>
      <c r="F189" s="151"/>
      <c r="G189" s="151"/>
      <c r="H189" s="151"/>
    </row>
    <row r="190" ht="12.0" customHeight="1">
      <c r="E190" s="151"/>
      <c r="F190" s="151"/>
      <c r="G190" s="151"/>
      <c r="H190" s="151"/>
    </row>
    <row r="191" ht="12.0" customHeight="1">
      <c r="E191" s="151"/>
      <c r="F191" s="151"/>
      <c r="G191" s="151"/>
      <c r="H191" s="151"/>
    </row>
    <row r="192" ht="12.0" customHeight="1">
      <c r="E192" s="151"/>
      <c r="F192" s="151"/>
      <c r="G192" s="151"/>
      <c r="H192" s="151"/>
    </row>
    <row r="193" ht="12.0" customHeight="1">
      <c r="E193" s="151"/>
      <c r="F193" s="151"/>
      <c r="G193" s="151"/>
      <c r="H193" s="151"/>
    </row>
    <row r="194" ht="12.0" customHeight="1">
      <c r="E194" s="151"/>
      <c r="F194" s="151"/>
      <c r="G194" s="151"/>
      <c r="H194" s="151"/>
    </row>
    <row r="195" ht="12.0" customHeight="1">
      <c r="E195" s="151"/>
      <c r="F195" s="151"/>
      <c r="G195" s="151"/>
      <c r="H195" s="151"/>
    </row>
    <row r="196" ht="12.0" customHeight="1">
      <c r="E196" s="151"/>
      <c r="F196" s="151"/>
      <c r="G196" s="151"/>
      <c r="H196" s="151"/>
    </row>
    <row r="197" ht="12.0" customHeight="1">
      <c r="E197" s="151"/>
      <c r="F197" s="151"/>
      <c r="G197" s="151"/>
      <c r="H197" s="151"/>
    </row>
    <row r="198" ht="12.0" customHeight="1">
      <c r="E198" s="151"/>
      <c r="F198" s="151"/>
      <c r="G198" s="151"/>
      <c r="H198" s="151"/>
    </row>
    <row r="199" ht="12.0" customHeight="1">
      <c r="E199" s="151"/>
      <c r="F199" s="151"/>
      <c r="G199" s="151"/>
      <c r="H199" s="151"/>
    </row>
    <row r="200" ht="12.0" customHeight="1">
      <c r="E200" s="151"/>
      <c r="F200" s="151"/>
      <c r="G200" s="151"/>
      <c r="H200" s="151"/>
    </row>
    <row r="201" ht="12.0" customHeight="1">
      <c r="E201" s="151"/>
      <c r="F201" s="151"/>
      <c r="G201" s="151"/>
      <c r="H201" s="151"/>
    </row>
    <row r="202" ht="12.0" customHeight="1">
      <c r="E202" s="151"/>
      <c r="F202" s="151"/>
      <c r="G202" s="151"/>
      <c r="H202" s="151"/>
    </row>
    <row r="203" ht="12.0" customHeight="1">
      <c r="E203" s="151"/>
      <c r="F203" s="151"/>
      <c r="G203" s="151"/>
      <c r="H203" s="151"/>
    </row>
    <row r="204" ht="12.0" customHeight="1">
      <c r="E204" s="151"/>
      <c r="F204" s="151"/>
      <c r="G204" s="151"/>
      <c r="H204" s="151"/>
    </row>
    <row r="205" ht="12.0" customHeight="1">
      <c r="E205" s="151"/>
      <c r="F205" s="151"/>
      <c r="G205" s="151"/>
      <c r="H205" s="151"/>
    </row>
    <row r="206" ht="12.0" customHeight="1">
      <c r="E206" s="151"/>
      <c r="F206" s="151"/>
      <c r="G206" s="151"/>
      <c r="H206" s="151"/>
    </row>
    <row r="207" ht="12.0" customHeight="1">
      <c r="E207" s="151"/>
      <c r="F207" s="151"/>
      <c r="G207" s="151"/>
      <c r="H207" s="151"/>
    </row>
    <row r="208" ht="12.0" customHeight="1">
      <c r="E208" s="151"/>
      <c r="F208" s="151"/>
      <c r="G208" s="151"/>
      <c r="H208" s="151"/>
    </row>
    <row r="209" ht="12.0" customHeight="1">
      <c r="E209" s="151"/>
      <c r="F209" s="151"/>
      <c r="G209" s="151"/>
      <c r="H209" s="151"/>
    </row>
    <row r="210" ht="12.0" customHeight="1">
      <c r="E210" s="151"/>
      <c r="F210" s="151"/>
      <c r="G210" s="151"/>
      <c r="H210" s="151"/>
    </row>
    <row r="211" ht="12.0" customHeight="1">
      <c r="E211" s="151"/>
      <c r="F211" s="151"/>
      <c r="G211" s="151"/>
      <c r="H211" s="151"/>
    </row>
    <row r="212" ht="12.0" customHeight="1">
      <c r="E212" s="151"/>
      <c r="F212" s="151"/>
      <c r="G212" s="151"/>
      <c r="H212" s="151"/>
    </row>
    <row r="213" ht="12.0" customHeight="1">
      <c r="E213" s="151"/>
      <c r="F213" s="151"/>
      <c r="G213" s="151"/>
      <c r="H213" s="151"/>
    </row>
    <row r="214" ht="12.0" customHeight="1">
      <c r="E214" s="151"/>
      <c r="F214" s="151"/>
      <c r="G214" s="151"/>
      <c r="H214" s="151"/>
    </row>
    <row r="215" ht="12.0" customHeight="1">
      <c r="E215" s="151"/>
      <c r="F215" s="151"/>
      <c r="G215" s="151"/>
      <c r="H215" s="151"/>
    </row>
    <row r="216" ht="12.0" customHeight="1">
      <c r="E216" s="151"/>
      <c r="F216" s="151"/>
      <c r="G216" s="151"/>
      <c r="H216" s="151"/>
    </row>
    <row r="217" ht="12.0" customHeight="1">
      <c r="E217" s="151"/>
      <c r="F217" s="151"/>
      <c r="G217" s="151"/>
      <c r="H217" s="151"/>
    </row>
    <row r="218" ht="12.0" customHeight="1">
      <c r="E218" s="151"/>
      <c r="F218" s="151"/>
      <c r="G218" s="151"/>
      <c r="H218" s="151"/>
    </row>
    <row r="219" ht="12.0" customHeight="1">
      <c r="E219" s="151"/>
      <c r="F219" s="151"/>
      <c r="G219" s="151"/>
      <c r="H219" s="151"/>
    </row>
    <row r="220" ht="12.0" customHeight="1">
      <c r="E220" s="151"/>
      <c r="F220" s="151"/>
      <c r="G220" s="151"/>
      <c r="H220" s="151"/>
    </row>
    <row r="221" ht="12.0" customHeight="1">
      <c r="E221" s="151"/>
      <c r="F221" s="151"/>
      <c r="G221" s="151"/>
      <c r="H221" s="151"/>
    </row>
    <row r="222" ht="12.0" customHeight="1">
      <c r="E222" s="151"/>
      <c r="F222" s="151"/>
      <c r="G222" s="151"/>
      <c r="H222" s="151"/>
    </row>
    <row r="223" ht="12.0" customHeight="1">
      <c r="E223" s="151"/>
      <c r="F223" s="151"/>
      <c r="G223" s="151"/>
      <c r="H223" s="151"/>
    </row>
    <row r="224" ht="12.0" customHeight="1">
      <c r="E224" s="151"/>
      <c r="F224" s="151"/>
      <c r="G224" s="151"/>
      <c r="H224" s="151"/>
    </row>
    <row r="225" ht="12.0" customHeight="1">
      <c r="E225" s="151"/>
      <c r="F225" s="151"/>
      <c r="G225" s="151"/>
      <c r="H225" s="151"/>
    </row>
    <row r="226" ht="12.0" customHeight="1">
      <c r="E226" s="151"/>
      <c r="F226" s="151"/>
      <c r="G226" s="151"/>
      <c r="H226" s="151"/>
    </row>
    <row r="227" ht="12.0" customHeight="1">
      <c r="E227" s="151"/>
      <c r="F227" s="151"/>
      <c r="G227" s="151"/>
      <c r="H227" s="151"/>
    </row>
    <row r="228" ht="12.0" customHeight="1">
      <c r="E228" s="151"/>
      <c r="F228" s="151"/>
      <c r="G228" s="151"/>
      <c r="H228" s="151"/>
    </row>
    <row r="229" ht="12.0" customHeight="1">
      <c r="E229" s="151"/>
      <c r="F229" s="151"/>
      <c r="G229" s="151"/>
      <c r="H229" s="151"/>
    </row>
    <row r="230" ht="12.0" customHeight="1">
      <c r="E230" s="151"/>
      <c r="F230" s="151"/>
      <c r="G230" s="151"/>
      <c r="H230" s="151"/>
    </row>
    <row r="231" ht="12.0" customHeight="1">
      <c r="E231" s="151"/>
      <c r="F231" s="151"/>
      <c r="G231" s="151"/>
      <c r="H231" s="151"/>
    </row>
    <row r="232" ht="12.0" customHeight="1">
      <c r="E232" s="151"/>
      <c r="F232" s="151"/>
      <c r="G232" s="151"/>
      <c r="H232" s="151"/>
    </row>
    <row r="233" ht="12.0" customHeight="1">
      <c r="E233" s="151"/>
      <c r="F233" s="151"/>
      <c r="G233" s="151"/>
      <c r="H233" s="151"/>
    </row>
    <row r="234" ht="12.0" customHeight="1">
      <c r="E234" s="151"/>
      <c r="F234" s="151"/>
      <c r="G234" s="151"/>
      <c r="H234" s="151"/>
    </row>
    <row r="235" ht="12.0" customHeight="1">
      <c r="E235" s="151"/>
      <c r="F235" s="151"/>
      <c r="G235" s="151"/>
      <c r="H235" s="151"/>
    </row>
    <row r="236" ht="12.0" customHeight="1">
      <c r="E236" s="151"/>
      <c r="F236" s="151"/>
      <c r="G236" s="151"/>
      <c r="H236" s="151"/>
    </row>
    <row r="237" ht="12.0" customHeight="1">
      <c r="E237" s="151"/>
      <c r="F237" s="151"/>
      <c r="G237" s="151"/>
      <c r="H237" s="151"/>
    </row>
    <row r="238" ht="12.0" customHeight="1">
      <c r="E238" s="151"/>
      <c r="F238" s="151"/>
      <c r="G238" s="151"/>
      <c r="H238" s="151"/>
    </row>
    <row r="239" ht="12.0" customHeight="1">
      <c r="E239" s="151"/>
      <c r="F239" s="151"/>
      <c r="G239" s="151"/>
      <c r="H239" s="151"/>
    </row>
    <row r="240" ht="12.0" customHeight="1">
      <c r="E240" s="151"/>
      <c r="F240" s="151"/>
      <c r="G240" s="151"/>
      <c r="H240" s="151"/>
    </row>
    <row r="241" ht="12.0" customHeight="1">
      <c r="E241" s="151"/>
      <c r="F241" s="151"/>
      <c r="G241" s="151"/>
      <c r="H241" s="151"/>
    </row>
    <row r="242" ht="12.0" customHeight="1">
      <c r="E242" s="151"/>
      <c r="F242" s="151"/>
      <c r="G242" s="151"/>
      <c r="H242" s="151"/>
    </row>
    <row r="243" ht="12.0" customHeight="1">
      <c r="E243" s="151"/>
      <c r="F243" s="151"/>
      <c r="G243" s="151"/>
      <c r="H243" s="151"/>
    </row>
    <row r="244" ht="12.0" customHeight="1">
      <c r="E244" s="151"/>
      <c r="F244" s="151"/>
      <c r="G244" s="151"/>
      <c r="H244" s="151"/>
    </row>
    <row r="245" ht="12.0" customHeight="1">
      <c r="E245" s="151"/>
      <c r="F245" s="151"/>
      <c r="G245" s="151"/>
      <c r="H245" s="151"/>
    </row>
    <row r="246" ht="12.0" customHeight="1">
      <c r="E246" s="151"/>
      <c r="F246" s="151"/>
      <c r="G246" s="151"/>
      <c r="H246" s="151"/>
    </row>
    <row r="247" ht="12.0" customHeight="1">
      <c r="E247" s="151"/>
      <c r="F247" s="151"/>
      <c r="G247" s="151"/>
      <c r="H247" s="151"/>
    </row>
    <row r="248" ht="12.0" customHeight="1">
      <c r="E248" s="151"/>
      <c r="F248" s="151"/>
      <c r="G248" s="151"/>
      <c r="H248" s="151"/>
    </row>
    <row r="249" ht="12.0" customHeight="1">
      <c r="E249" s="151"/>
      <c r="F249" s="151"/>
      <c r="G249" s="151"/>
      <c r="H249" s="151"/>
    </row>
    <row r="250" ht="12.0" customHeight="1">
      <c r="E250" s="151"/>
      <c r="F250" s="151"/>
      <c r="G250" s="151"/>
      <c r="H250" s="151"/>
    </row>
    <row r="251" ht="12.0" customHeight="1">
      <c r="E251" s="151"/>
      <c r="F251" s="151"/>
      <c r="G251" s="151"/>
      <c r="H251" s="151"/>
    </row>
    <row r="252" ht="12.0" customHeight="1">
      <c r="E252" s="151"/>
      <c r="F252" s="151"/>
      <c r="G252" s="151"/>
      <c r="H252" s="151"/>
    </row>
    <row r="253" ht="12.0" customHeight="1">
      <c r="E253" s="151"/>
      <c r="F253" s="151"/>
      <c r="G253" s="151"/>
      <c r="H253" s="151"/>
    </row>
    <row r="254" ht="12.0" customHeight="1">
      <c r="E254" s="151"/>
      <c r="F254" s="151"/>
      <c r="G254" s="151"/>
      <c r="H254" s="151"/>
    </row>
    <row r="255" ht="12.0" customHeight="1">
      <c r="E255" s="151"/>
      <c r="F255" s="151"/>
      <c r="G255" s="151"/>
      <c r="H255" s="151"/>
    </row>
    <row r="256" ht="12.0" customHeight="1">
      <c r="E256" s="151"/>
      <c r="F256" s="151"/>
      <c r="G256" s="151"/>
      <c r="H256" s="151"/>
    </row>
    <row r="257" ht="12.0" customHeight="1">
      <c r="E257" s="151"/>
      <c r="F257" s="151"/>
      <c r="G257" s="151"/>
      <c r="H257" s="151"/>
    </row>
    <row r="258" ht="12.0" customHeight="1">
      <c r="E258" s="151"/>
      <c r="F258" s="151"/>
      <c r="G258" s="151"/>
      <c r="H258" s="151"/>
    </row>
    <row r="259" ht="12.0" customHeight="1">
      <c r="E259" s="151"/>
      <c r="F259" s="151"/>
      <c r="G259" s="151"/>
      <c r="H259" s="151"/>
    </row>
    <row r="260" ht="12.0" customHeight="1">
      <c r="E260" s="151"/>
      <c r="F260" s="151"/>
      <c r="G260" s="151"/>
      <c r="H260" s="151"/>
    </row>
    <row r="261" ht="12.0" customHeight="1">
      <c r="E261" s="151"/>
      <c r="F261" s="151"/>
      <c r="G261" s="151"/>
      <c r="H261" s="151"/>
    </row>
    <row r="262" ht="12.0" customHeight="1">
      <c r="E262" s="151"/>
      <c r="F262" s="151"/>
      <c r="G262" s="151"/>
      <c r="H262" s="151"/>
    </row>
    <row r="263" ht="12.0" customHeight="1">
      <c r="E263" s="151"/>
      <c r="F263" s="151"/>
      <c r="G263" s="151"/>
      <c r="H263" s="151"/>
    </row>
    <row r="264" ht="12.0" customHeight="1">
      <c r="E264" s="151"/>
      <c r="F264" s="151"/>
      <c r="G264" s="151"/>
      <c r="H264" s="151"/>
    </row>
    <row r="265" ht="12.0" customHeight="1">
      <c r="E265" s="151"/>
      <c r="F265" s="151"/>
      <c r="G265" s="151"/>
      <c r="H265" s="151"/>
    </row>
    <row r="266" ht="12.0" customHeight="1">
      <c r="E266" s="151"/>
      <c r="F266" s="151"/>
      <c r="G266" s="151"/>
      <c r="H266" s="151"/>
    </row>
    <row r="267" ht="12.0" customHeight="1">
      <c r="E267" s="151"/>
      <c r="F267" s="151"/>
      <c r="G267" s="151"/>
      <c r="H267" s="151"/>
    </row>
    <row r="268" ht="12.0" customHeight="1">
      <c r="E268" s="151"/>
      <c r="F268" s="151"/>
      <c r="G268" s="151"/>
      <c r="H268" s="151"/>
    </row>
    <row r="269" ht="12.0" customHeight="1">
      <c r="E269" s="151"/>
      <c r="F269" s="151"/>
      <c r="G269" s="151"/>
      <c r="H269" s="151"/>
    </row>
    <row r="270" ht="12.0" customHeight="1">
      <c r="E270" s="151"/>
      <c r="F270" s="151"/>
      <c r="G270" s="151"/>
      <c r="H270" s="151"/>
    </row>
    <row r="271" ht="12.0" customHeight="1">
      <c r="E271" s="151"/>
      <c r="F271" s="151"/>
      <c r="G271" s="151"/>
      <c r="H271" s="151"/>
    </row>
    <row r="272" ht="12.0" customHeight="1">
      <c r="E272" s="151"/>
      <c r="F272" s="151"/>
      <c r="G272" s="151"/>
      <c r="H272" s="151"/>
    </row>
    <row r="273" ht="12.0" customHeight="1">
      <c r="E273" s="151"/>
      <c r="F273" s="151"/>
      <c r="G273" s="151"/>
      <c r="H273" s="151"/>
    </row>
    <row r="274" ht="12.0" customHeight="1">
      <c r="E274" s="151"/>
      <c r="F274" s="151"/>
      <c r="G274" s="151"/>
      <c r="H274" s="151"/>
    </row>
    <row r="275" ht="12.0" customHeight="1">
      <c r="E275" s="151"/>
      <c r="F275" s="151"/>
      <c r="G275" s="151"/>
      <c r="H275" s="151"/>
    </row>
    <row r="276" ht="12.0" customHeight="1">
      <c r="E276" s="151"/>
      <c r="F276" s="151"/>
      <c r="G276" s="151"/>
      <c r="H276" s="151"/>
    </row>
    <row r="277" ht="12.0" customHeight="1">
      <c r="E277" s="151"/>
      <c r="F277" s="151"/>
      <c r="G277" s="151"/>
      <c r="H277" s="151"/>
    </row>
    <row r="278" ht="12.0" customHeight="1">
      <c r="E278" s="151"/>
      <c r="F278" s="151"/>
      <c r="G278" s="151"/>
      <c r="H278" s="151"/>
    </row>
    <row r="279" ht="12.0" customHeight="1">
      <c r="E279" s="151"/>
      <c r="F279" s="151"/>
      <c r="G279" s="151"/>
      <c r="H279" s="151"/>
    </row>
    <row r="280" ht="12.0" customHeight="1">
      <c r="E280" s="151"/>
      <c r="F280" s="151"/>
      <c r="G280" s="151"/>
      <c r="H280" s="151"/>
    </row>
    <row r="281" ht="12.0" customHeight="1">
      <c r="E281" s="151"/>
      <c r="F281" s="151"/>
      <c r="G281" s="151"/>
      <c r="H281" s="151"/>
    </row>
    <row r="282" ht="12.0" customHeight="1">
      <c r="E282" s="151"/>
      <c r="F282" s="151"/>
      <c r="G282" s="151"/>
      <c r="H282" s="151"/>
    </row>
    <row r="283" ht="12.0" customHeight="1">
      <c r="E283" s="151"/>
      <c r="F283" s="151"/>
      <c r="G283" s="151"/>
      <c r="H283" s="151"/>
    </row>
    <row r="284" ht="12.0" customHeight="1">
      <c r="E284" s="151"/>
      <c r="F284" s="151"/>
      <c r="G284" s="151"/>
      <c r="H284" s="151"/>
    </row>
    <row r="285" ht="12.0" customHeight="1">
      <c r="E285" s="151"/>
      <c r="F285" s="151"/>
      <c r="G285" s="151"/>
      <c r="H285" s="151"/>
    </row>
    <row r="286" ht="12.0" customHeight="1">
      <c r="E286" s="151"/>
      <c r="F286" s="151"/>
      <c r="G286" s="151"/>
      <c r="H286" s="151"/>
    </row>
    <row r="287" ht="12.0" customHeight="1">
      <c r="E287" s="151"/>
      <c r="F287" s="151"/>
      <c r="G287" s="151"/>
      <c r="H287" s="151"/>
    </row>
    <row r="288" ht="12.0" customHeight="1">
      <c r="E288" s="151"/>
      <c r="F288" s="151"/>
      <c r="G288" s="151"/>
      <c r="H288" s="151"/>
    </row>
    <row r="289" ht="12.0" customHeight="1">
      <c r="E289" s="151"/>
      <c r="F289" s="151"/>
      <c r="G289" s="151"/>
      <c r="H289" s="151"/>
    </row>
    <row r="290" ht="12.0" customHeight="1">
      <c r="E290" s="151"/>
      <c r="F290" s="151"/>
      <c r="G290" s="151"/>
      <c r="H290" s="151"/>
    </row>
    <row r="291" ht="12.0" customHeight="1">
      <c r="E291" s="151"/>
      <c r="F291" s="151"/>
      <c r="G291" s="151"/>
      <c r="H291" s="151"/>
    </row>
    <row r="292" ht="12.0" customHeight="1">
      <c r="E292" s="151"/>
      <c r="F292" s="151"/>
      <c r="G292" s="151"/>
      <c r="H292" s="151"/>
    </row>
    <row r="293" ht="12.0" customHeight="1">
      <c r="E293" s="151"/>
      <c r="F293" s="151"/>
      <c r="G293" s="151"/>
      <c r="H293" s="151"/>
    </row>
    <row r="294" ht="12.0" customHeight="1">
      <c r="E294" s="151"/>
      <c r="F294" s="151"/>
      <c r="G294" s="151"/>
      <c r="H294" s="151"/>
    </row>
    <row r="295" ht="12.0" customHeight="1">
      <c r="E295" s="151"/>
      <c r="F295" s="151"/>
      <c r="G295" s="151"/>
      <c r="H295" s="151"/>
    </row>
    <row r="296" ht="12.0" customHeight="1">
      <c r="E296" s="151"/>
      <c r="F296" s="151"/>
      <c r="G296" s="151"/>
      <c r="H296" s="151"/>
    </row>
    <row r="297" ht="12.0" customHeight="1">
      <c r="E297" s="151"/>
      <c r="F297" s="151"/>
      <c r="G297" s="151"/>
      <c r="H297" s="151"/>
    </row>
    <row r="298" ht="12.0" customHeight="1">
      <c r="E298" s="151"/>
      <c r="F298" s="151"/>
      <c r="G298" s="151"/>
      <c r="H298" s="151"/>
    </row>
    <row r="299" ht="12.0" customHeight="1">
      <c r="E299" s="151"/>
      <c r="F299" s="151"/>
      <c r="G299" s="151"/>
      <c r="H299" s="151"/>
    </row>
    <row r="300" ht="12.0" customHeight="1">
      <c r="E300" s="151"/>
      <c r="F300" s="151"/>
      <c r="G300" s="151"/>
      <c r="H300" s="151"/>
    </row>
    <row r="301" ht="12.0" customHeight="1">
      <c r="E301" s="151"/>
      <c r="F301" s="151"/>
      <c r="G301" s="151"/>
      <c r="H301" s="151"/>
    </row>
    <row r="302" ht="12.0" customHeight="1">
      <c r="E302" s="151"/>
      <c r="F302" s="151"/>
      <c r="G302" s="151"/>
      <c r="H302" s="151"/>
    </row>
    <row r="303" ht="12.0" customHeight="1">
      <c r="E303" s="151"/>
      <c r="F303" s="151"/>
      <c r="G303" s="151"/>
      <c r="H303" s="151"/>
    </row>
    <row r="304" ht="12.0" customHeight="1">
      <c r="E304" s="151"/>
      <c r="F304" s="151"/>
      <c r="G304" s="151"/>
      <c r="H304" s="151"/>
    </row>
    <row r="305" ht="12.0" customHeight="1">
      <c r="E305" s="151"/>
      <c r="F305" s="151"/>
      <c r="G305" s="151"/>
      <c r="H305" s="151"/>
    </row>
    <row r="306" ht="12.0" customHeight="1">
      <c r="E306" s="151"/>
      <c r="F306" s="151"/>
      <c r="G306" s="151"/>
      <c r="H306" s="151"/>
    </row>
    <row r="307" ht="12.0" customHeight="1">
      <c r="E307" s="151"/>
      <c r="F307" s="151"/>
      <c r="G307" s="151"/>
      <c r="H307" s="151"/>
    </row>
    <row r="308" ht="12.0" customHeight="1">
      <c r="E308" s="151"/>
      <c r="F308" s="151"/>
      <c r="G308" s="151"/>
      <c r="H308" s="151"/>
    </row>
    <row r="309" ht="12.0" customHeight="1">
      <c r="E309" s="151"/>
      <c r="F309" s="151"/>
      <c r="G309" s="151"/>
      <c r="H309" s="151"/>
    </row>
    <row r="310" ht="12.0" customHeight="1">
      <c r="E310" s="151"/>
      <c r="F310" s="151"/>
      <c r="G310" s="151"/>
      <c r="H310" s="151"/>
    </row>
    <row r="311" ht="12.0" customHeight="1">
      <c r="E311" s="151"/>
      <c r="F311" s="151"/>
      <c r="G311" s="151"/>
      <c r="H311" s="151"/>
    </row>
    <row r="312" ht="12.0" customHeight="1">
      <c r="E312" s="151"/>
      <c r="F312" s="151"/>
      <c r="G312" s="151"/>
      <c r="H312" s="151"/>
    </row>
    <row r="313" ht="12.0" customHeight="1">
      <c r="E313" s="151"/>
      <c r="F313" s="151"/>
      <c r="G313" s="151"/>
      <c r="H313" s="151"/>
    </row>
    <row r="314" ht="12.0" customHeight="1">
      <c r="E314" s="151"/>
      <c r="F314" s="151"/>
      <c r="G314" s="151"/>
      <c r="H314" s="151"/>
    </row>
    <row r="315" ht="12.0" customHeight="1">
      <c r="E315" s="151"/>
      <c r="F315" s="151"/>
      <c r="G315" s="151"/>
      <c r="H315" s="151"/>
    </row>
    <row r="316" ht="12.0" customHeight="1">
      <c r="E316" s="151"/>
      <c r="F316" s="151"/>
      <c r="G316" s="151"/>
      <c r="H316" s="151"/>
    </row>
    <row r="317" ht="12.0" customHeight="1">
      <c r="E317" s="151"/>
      <c r="F317" s="151"/>
      <c r="G317" s="151"/>
      <c r="H317" s="151"/>
    </row>
    <row r="318" ht="12.0" customHeight="1">
      <c r="E318" s="151"/>
      <c r="F318" s="151"/>
      <c r="G318" s="151"/>
      <c r="H318" s="151"/>
    </row>
    <row r="319" ht="12.0" customHeight="1">
      <c r="E319" s="151"/>
      <c r="F319" s="151"/>
      <c r="G319" s="151"/>
      <c r="H319" s="151"/>
    </row>
    <row r="320" ht="12.0" customHeight="1">
      <c r="E320" s="151"/>
      <c r="F320" s="151"/>
      <c r="G320" s="151"/>
      <c r="H320" s="151"/>
    </row>
    <row r="321" ht="12.0" customHeight="1">
      <c r="E321" s="151"/>
      <c r="F321" s="151"/>
      <c r="G321" s="151"/>
      <c r="H321" s="151"/>
    </row>
    <row r="322" ht="12.0" customHeight="1">
      <c r="E322" s="151"/>
      <c r="F322" s="151"/>
      <c r="G322" s="151"/>
      <c r="H322" s="151"/>
    </row>
    <row r="323" ht="12.0" customHeight="1">
      <c r="E323" s="151"/>
      <c r="F323" s="151"/>
      <c r="G323" s="151"/>
      <c r="H323" s="151"/>
    </row>
    <row r="324" ht="12.0" customHeight="1">
      <c r="E324" s="151"/>
      <c r="F324" s="151"/>
      <c r="G324" s="151"/>
      <c r="H324" s="151"/>
    </row>
    <row r="325" ht="12.0" customHeight="1">
      <c r="E325" s="151"/>
      <c r="F325" s="151"/>
      <c r="G325" s="151"/>
      <c r="H325" s="151"/>
    </row>
    <row r="326" ht="12.0" customHeight="1">
      <c r="E326" s="151"/>
      <c r="F326" s="151"/>
      <c r="G326" s="151"/>
      <c r="H326" s="151"/>
    </row>
    <row r="327" ht="12.0" customHeight="1">
      <c r="E327" s="151"/>
      <c r="F327" s="151"/>
      <c r="G327" s="151"/>
      <c r="H327" s="151"/>
    </row>
    <row r="328" ht="12.0" customHeight="1">
      <c r="E328" s="151"/>
      <c r="F328" s="151"/>
      <c r="G328" s="151"/>
      <c r="H328" s="151"/>
    </row>
    <row r="329" ht="12.0" customHeight="1">
      <c r="E329" s="151"/>
      <c r="F329" s="151"/>
      <c r="G329" s="151"/>
      <c r="H329" s="151"/>
    </row>
    <row r="330" ht="12.0" customHeight="1">
      <c r="E330" s="151"/>
      <c r="F330" s="151"/>
      <c r="G330" s="151"/>
      <c r="H330" s="151"/>
    </row>
    <row r="331" ht="12.0" customHeight="1">
      <c r="E331" s="151"/>
      <c r="F331" s="151"/>
      <c r="G331" s="151"/>
      <c r="H331" s="151"/>
    </row>
    <row r="332" ht="12.0" customHeight="1">
      <c r="E332" s="151"/>
      <c r="F332" s="151"/>
      <c r="G332" s="151"/>
      <c r="H332" s="151"/>
    </row>
    <row r="333" ht="12.0" customHeight="1">
      <c r="E333" s="151"/>
      <c r="F333" s="151"/>
      <c r="G333" s="151"/>
      <c r="H333" s="151"/>
    </row>
    <row r="334" ht="12.0" customHeight="1">
      <c r="E334" s="151"/>
      <c r="F334" s="151"/>
      <c r="G334" s="151"/>
      <c r="H334" s="151"/>
    </row>
    <row r="335" ht="12.0" customHeight="1">
      <c r="E335" s="151"/>
      <c r="F335" s="151"/>
      <c r="G335" s="151"/>
      <c r="H335" s="151"/>
    </row>
    <row r="336" ht="12.0" customHeight="1">
      <c r="E336" s="151"/>
      <c r="F336" s="151"/>
      <c r="G336" s="151"/>
      <c r="H336" s="151"/>
    </row>
    <row r="337" ht="12.0" customHeight="1">
      <c r="E337" s="151"/>
      <c r="F337" s="151"/>
      <c r="G337" s="151"/>
      <c r="H337" s="151"/>
    </row>
    <row r="338" ht="12.0" customHeight="1">
      <c r="E338" s="151"/>
      <c r="F338" s="151"/>
      <c r="G338" s="151"/>
      <c r="H338" s="151"/>
    </row>
    <row r="339" ht="12.0" customHeight="1">
      <c r="E339" s="151"/>
      <c r="F339" s="151"/>
      <c r="G339" s="151"/>
      <c r="H339" s="151"/>
    </row>
    <row r="340" ht="12.0" customHeight="1">
      <c r="E340" s="151"/>
      <c r="F340" s="151"/>
      <c r="G340" s="151"/>
      <c r="H340" s="151"/>
    </row>
    <row r="341" ht="12.0" customHeight="1">
      <c r="E341" s="151"/>
      <c r="F341" s="151"/>
      <c r="G341" s="151"/>
      <c r="H341" s="151"/>
    </row>
    <row r="342" ht="12.0" customHeight="1">
      <c r="E342" s="151"/>
      <c r="F342" s="151"/>
      <c r="G342" s="151"/>
      <c r="H342" s="151"/>
    </row>
    <row r="343" ht="12.0" customHeight="1">
      <c r="E343" s="151"/>
      <c r="F343" s="151"/>
      <c r="G343" s="151"/>
      <c r="H343" s="151"/>
    </row>
    <row r="344" ht="12.0" customHeight="1">
      <c r="E344" s="151"/>
      <c r="F344" s="151"/>
      <c r="G344" s="151"/>
      <c r="H344" s="151"/>
    </row>
    <row r="345" ht="12.0" customHeight="1">
      <c r="E345" s="151"/>
      <c r="F345" s="151"/>
      <c r="G345" s="151"/>
      <c r="H345" s="151"/>
    </row>
    <row r="346" ht="12.0" customHeight="1">
      <c r="E346" s="151"/>
      <c r="F346" s="151"/>
      <c r="G346" s="151"/>
      <c r="H346" s="151"/>
    </row>
    <row r="347" ht="12.0" customHeight="1">
      <c r="E347" s="151"/>
      <c r="F347" s="151"/>
      <c r="G347" s="151"/>
      <c r="H347" s="151"/>
    </row>
    <row r="348" ht="12.0" customHeight="1">
      <c r="E348" s="151"/>
      <c r="F348" s="151"/>
      <c r="G348" s="151"/>
      <c r="H348" s="151"/>
    </row>
    <row r="349" ht="12.0" customHeight="1">
      <c r="E349" s="151"/>
      <c r="F349" s="151"/>
      <c r="G349" s="151"/>
      <c r="H349" s="151"/>
    </row>
    <row r="350" ht="12.0" customHeight="1">
      <c r="E350" s="151"/>
      <c r="F350" s="151"/>
      <c r="G350" s="151"/>
      <c r="H350" s="151"/>
    </row>
    <row r="351" ht="12.0" customHeight="1">
      <c r="E351" s="151"/>
      <c r="F351" s="151"/>
      <c r="G351" s="151"/>
      <c r="H351" s="151"/>
    </row>
    <row r="352" ht="12.0" customHeight="1">
      <c r="E352" s="151"/>
      <c r="F352" s="151"/>
      <c r="G352" s="151"/>
      <c r="H352" s="151"/>
    </row>
    <row r="353" ht="12.0" customHeight="1">
      <c r="E353" s="151"/>
      <c r="F353" s="151"/>
      <c r="G353" s="151"/>
      <c r="H353" s="151"/>
    </row>
    <row r="354" ht="12.0" customHeight="1">
      <c r="E354" s="151"/>
      <c r="F354" s="151"/>
      <c r="G354" s="151"/>
      <c r="H354" s="151"/>
    </row>
    <row r="355" ht="12.0" customHeight="1">
      <c r="E355" s="151"/>
      <c r="F355" s="151"/>
      <c r="G355" s="151"/>
      <c r="H355" s="151"/>
    </row>
    <row r="356" ht="12.0" customHeight="1">
      <c r="E356" s="151"/>
      <c r="F356" s="151"/>
      <c r="G356" s="151"/>
      <c r="H356" s="151"/>
    </row>
    <row r="357" ht="12.0" customHeight="1">
      <c r="E357" s="151"/>
      <c r="F357" s="151"/>
      <c r="G357" s="151"/>
      <c r="H357" s="151"/>
    </row>
    <row r="358" ht="12.0" customHeight="1">
      <c r="E358" s="151"/>
      <c r="F358" s="151"/>
      <c r="G358" s="151"/>
      <c r="H358" s="151"/>
    </row>
    <row r="359" ht="12.0" customHeight="1">
      <c r="E359" s="151"/>
      <c r="F359" s="151"/>
      <c r="G359" s="151"/>
      <c r="H359" s="151"/>
    </row>
    <row r="360" ht="12.0" customHeight="1">
      <c r="E360" s="151"/>
      <c r="F360" s="151"/>
      <c r="G360" s="151"/>
      <c r="H360" s="151"/>
    </row>
    <row r="361" ht="12.0" customHeight="1">
      <c r="E361" s="151"/>
      <c r="F361" s="151"/>
      <c r="G361" s="151"/>
      <c r="H361" s="151"/>
    </row>
    <row r="362" ht="12.0" customHeight="1">
      <c r="E362" s="151"/>
      <c r="F362" s="151"/>
      <c r="G362" s="151"/>
      <c r="H362" s="151"/>
    </row>
    <row r="363" ht="12.0" customHeight="1">
      <c r="E363" s="151"/>
      <c r="F363" s="151"/>
      <c r="G363" s="151"/>
      <c r="H363" s="151"/>
    </row>
    <row r="364" ht="12.0" customHeight="1">
      <c r="E364" s="151"/>
      <c r="F364" s="151"/>
      <c r="G364" s="151"/>
      <c r="H364" s="151"/>
    </row>
    <row r="365" ht="12.0" customHeight="1">
      <c r="E365" s="151"/>
      <c r="F365" s="151"/>
      <c r="G365" s="151"/>
      <c r="H365" s="151"/>
    </row>
    <row r="366" ht="12.0" customHeight="1">
      <c r="E366" s="151"/>
      <c r="F366" s="151"/>
      <c r="G366" s="151"/>
      <c r="H366" s="151"/>
    </row>
    <row r="367" ht="12.0" customHeight="1">
      <c r="E367" s="151"/>
      <c r="F367" s="151"/>
      <c r="G367" s="151"/>
      <c r="H367" s="151"/>
    </row>
    <row r="368" ht="12.0" customHeight="1">
      <c r="E368" s="151"/>
      <c r="F368" s="151"/>
      <c r="G368" s="151"/>
      <c r="H368" s="151"/>
    </row>
    <row r="369" ht="12.0" customHeight="1">
      <c r="E369" s="151"/>
      <c r="F369" s="151"/>
      <c r="G369" s="151"/>
      <c r="H369" s="151"/>
    </row>
    <row r="370" ht="12.0" customHeight="1">
      <c r="E370" s="151"/>
      <c r="F370" s="151"/>
      <c r="G370" s="151"/>
      <c r="H370" s="151"/>
    </row>
    <row r="371" ht="12.0" customHeight="1">
      <c r="E371" s="151"/>
      <c r="F371" s="151"/>
      <c r="G371" s="151"/>
      <c r="H371" s="151"/>
    </row>
    <row r="372" ht="12.0" customHeight="1">
      <c r="E372" s="151"/>
      <c r="F372" s="151"/>
      <c r="G372" s="151"/>
      <c r="H372" s="151"/>
    </row>
    <row r="373" ht="12.0" customHeight="1">
      <c r="E373" s="151"/>
      <c r="F373" s="151"/>
      <c r="G373" s="151"/>
      <c r="H373" s="151"/>
    </row>
    <row r="374" ht="12.0" customHeight="1">
      <c r="E374" s="151"/>
      <c r="F374" s="151"/>
      <c r="G374" s="151"/>
      <c r="H374" s="151"/>
    </row>
    <row r="375" ht="12.0" customHeight="1">
      <c r="E375" s="151"/>
      <c r="F375" s="151"/>
      <c r="G375" s="151"/>
      <c r="H375" s="151"/>
    </row>
    <row r="376" ht="12.0" customHeight="1">
      <c r="E376" s="151"/>
      <c r="F376" s="151"/>
      <c r="G376" s="151"/>
      <c r="H376" s="151"/>
    </row>
    <row r="377" ht="12.0" customHeight="1">
      <c r="E377" s="151"/>
      <c r="F377" s="151"/>
      <c r="G377" s="151"/>
      <c r="H377" s="151"/>
    </row>
    <row r="378" ht="12.0" customHeight="1">
      <c r="E378" s="151"/>
      <c r="F378" s="151"/>
      <c r="G378" s="151"/>
      <c r="H378" s="151"/>
    </row>
    <row r="379" ht="12.0" customHeight="1">
      <c r="E379" s="151"/>
      <c r="F379" s="151"/>
      <c r="G379" s="151"/>
      <c r="H379" s="151"/>
    </row>
    <row r="380" ht="12.0" customHeight="1">
      <c r="E380" s="151"/>
      <c r="F380" s="151"/>
      <c r="G380" s="151"/>
      <c r="H380" s="151"/>
    </row>
    <row r="381" ht="12.0" customHeight="1">
      <c r="E381" s="151"/>
      <c r="F381" s="151"/>
      <c r="G381" s="151"/>
      <c r="H381" s="151"/>
    </row>
    <row r="382" ht="12.0" customHeight="1">
      <c r="E382" s="151"/>
      <c r="F382" s="151"/>
      <c r="G382" s="151"/>
      <c r="H382" s="151"/>
    </row>
    <row r="383" ht="12.0" customHeight="1">
      <c r="E383" s="151"/>
      <c r="F383" s="151"/>
      <c r="G383" s="151"/>
      <c r="H383" s="151"/>
    </row>
    <row r="384" ht="12.0" customHeight="1">
      <c r="E384" s="151"/>
      <c r="F384" s="151"/>
      <c r="G384" s="151"/>
      <c r="H384" s="151"/>
    </row>
    <row r="385" ht="12.0" customHeight="1">
      <c r="E385" s="151"/>
      <c r="F385" s="151"/>
      <c r="G385" s="151"/>
      <c r="H385" s="151"/>
    </row>
    <row r="386" ht="12.0" customHeight="1">
      <c r="E386" s="151"/>
      <c r="F386" s="151"/>
      <c r="G386" s="151"/>
      <c r="H386" s="151"/>
    </row>
    <row r="387" ht="12.0" customHeight="1">
      <c r="E387" s="151"/>
      <c r="F387" s="151"/>
      <c r="G387" s="151"/>
      <c r="H387" s="151"/>
    </row>
    <row r="388" ht="12.0" customHeight="1">
      <c r="E388" s="151"/>
      <c r="F388" s="151"/>
      <c r="G388" s="151"/>
      <c r="H388" s="151"/>
    </row>
    <row r="389" ht="12.0" customHeight="1">
      <c r="E389" s="151"/>
      <c r="F389" s="151"/>
      <c r="G389" s="151"/>
      <c r="H389" s="151"/>
    </row>
    <row r="390" ht="12.0" customHeight="1">
      <c r="E390" s="151"/>
      <c r="F390" s="151"/>
      <c r="G390" s="151"/>
      <c r="H390" s="151"/>
    </row>
    <row r="391" ht="12.0" customHeight="1">
      <c r="E391" s="151"/>
      <c r="F391" s="151"/>
      <c r="G391" s="151"/>
      <c r="H391" s="151"/>
    </row>
    <row r="392" ht="12.0" customHeight="1">
      <c r="E392" s="151"/>
      <c r="F392" s="151"/>
      <c r="G392" s="151"/>
      <c r="H392" s="151"/>
    </row>
    <row r="393" ht="12.0" customHeight="1">
      <c r="E393" s="151"/>
      <c r="F393" s="151"/>
      <c r="G393" s="151"/>
      <c r="H393" s="151"/>
    </row>
    <row r="394" ht="12.0" customHeight="1">
      <c r="E394" s="151"/>
      <c r="F394" s="151"/>
      <c r="G394" s="151"/>
      <c r="H394" s="151"/>
    </row>
    <row r="395" ht="12.0" customHeight="1">
      <c r="E395" s="151"/>
      <c r="F395" s="151"/>
      <c r="G395" s="151"/>
      <c r="H395" s="151"/>
    </row>
    <row r="396" ht="12.0" customHeight="1">
      <c r="E396" s="151"/>
      <c r="F396" s="151"/>
      <c r="G396" s="151"/>
      <c r="H396" s="151"/>
    </row>
    <row r="397" ht="12.0" customHeight="1">
      <c r="E397" s="151"/>
      <c r="F397" s="151"/>
      <c r="G397" s="151"/>
      <c r="H397" s="151"/>
    </row>
    <row r="398" ht="12.0" customHeight="1">
      <c r="E398" s="151"/>
      <c r="F398" s="151"/>
      <c r="G398" s="151"/>
      <c r="H398" s="151"/>
    </row>
    <row r="399" ht="12.0" customHeight="1">
      <c r="E399" s="151"/>
      <c r="F399" s="151"/>
      <c r="G399" s="151"/>
      <c r="H399" s="151"/>
    </row>
    <row r="400" ht="12.0" customHeight="1">
      <c r="E400" s="151"/>
      <c r="F400" s="151"/>
      <c r="G400" s="151"/>
      <c r="H400" s="151"/>
    </row>
    <row r="401" ht="12.0" customHeight="1">
      <c r="E401" s="151"/>
      <c r="F401" s="151"/>
      <c r="G401" s="151"/>
      <c r="H401" s="151"/>
    </row>
    <row r="402" ht="12.0" customHeight="1">
      <c r="E402" s="151"/>
      <c r="F402" s="151"/>
      <c r="G402" s="151"/>
      <c r="H402" s="151"/>
    </row>
    <row r="403" ht="12.0" customHeight="1">
      <c r="E403" s="151"/>
      <c r="F403" s="151"/>
      <c r="G403" s="151"/>
      <c r="H403" s="151"/>
    </row>
    <row r="404" ht="12.0" customHeight="1">
      <c r="E404" s="151"/>
      <c r="F404" s="151"/>
      <c r="G404" s="151"/>
      <c r="H404" s="151"/>
    </row>
    <row r="405" ht="12.0" customHeight="1">
      <c r="E405" s="151"/>
      <c r="F405" s="151"/>
      <c r="G405" s="151"/>
      <c r="H405" s="151"/>
    </row>
    <row r="406" ht="12.0" customHeight="1">
      <c r="E406" s="151"/>
      <c r="F406" s="151"/>
      <c r="G406" s="151"/>
      <c r="H406" s="151"/>
    </row>
    <row r="407" ht="12.0" customHeight="1">
      <c r="E407" s="151"/>
      <c r="F407" s="151"/>
      <c r="G407" s="151"/>
      <c r="H407" s="151"/>
    </row>
    <row r="408" ht="12.0" customHeight="1">
      <c r="E408" s="151"/>
      <c r="F408" s="151"/>
      <c r="G408" s="151"/>
      <c r="H408" s="151"/>
    </row>
    <row r="409" ht="12.0" customHeight="1">
      <c r="E409" s="151"/>
      <c r="F409" s="151"/>
      <c r="G409" s="151"/>
      <c r="H409" s="151"/>
    </row>
    <row r="410" ht="12.0" customHeight="1">
      <c r="E410" s="151"/>
      <c r="F410" s="151"/>
      <c r="G410" s="151"/>
      <c r="H410" s="151"/>
    </row>
    <row r="411" ht="12.0" customHeight="1">
      <c r="E411" s="151"/>
      <c r="F411" s="151"/>
      <c r="G411" s="151"/>
      <c r="H411" s="151"/>
    </row>
    <row r="412" ht="12.0" customHeight="1">
      <c r="E412" s="151"/>
      <c r="F412" s="151"/>
      <c r="G412" s="151"/>
      <c r="H412" s="151"/>
    </row>
    <row r="413" ht="12.0" customHeight="1">
      <c r="E413" s="151"/>
      <c r="F413" s="151"/>
      <c r="G413" s="151"/>
      <c r="H413" s="151"/>
    </row>
    <row r="414" ht="12.0" customHeight="1">
      <c r="E414" s="151"/>
      <c r="F414" s="151"/>
      <c r="G414" s="151"/>
      <c r="H414" s="151"/>
    </row>
    <row r="415" ht="12.0" customHeight="1">
      <c r="E415" s="151"/>
      <c r="F415" s="151"/>
      <c r="G415" s="151"/>
      <c r="H415" s="151"/>
    </row>
    <row r="416" ht="12.0" customHeight="1">
      <c r="E416" s="151"/>
      <c r="F416" s="151"/>
      <c r="G416" s="151"/>
      <c r="H416" s="151"/>
    </row>
    <row r="417" ht="12.0" customHeight="1">
      <c r="E417" s="151"/>
      <c r="F417" s="151"/>
      <c r="G417" s="151"/>
      <c r="H417" s="151"/>
    </row>
    <row r="418" ht="12.0" customHeight="1">
      <c r="E418" s="151"/>
      <c r="F418" s="151"/>
      <c r="G418" s="151"/>
      <c r="H418" s="151"/>
    </row>
    <row r="419" ht="12.0" customHeight="1">
      <c r="E419" s="151"/>
      <c r="F419" s="151"/>
      <c r="G419" s="151"/>
      <c r="H419" s="151"/>
    </row>
    <row r="420" ht="12.0" customHeight="1">
      <c r="E420" s="151"/>
      <c r="F420" s="151"/>
      <c r="G420" s="151"/>
      <c r="H420" s="151"/>
    </row>
    <row r="421" ht="12.0" customHeight="1">
      <c r="E421" s="151"/>
      <c r="F421" s="151"/>
      <c r="G421" s="151"/>
      <c r="H421" s="151"/>
    </row>
    <row r="422" ht="12.0" customHeight="1">
      <c r="E422" s="151"/>
      <c r="F422" s="151"/>
      <c r="G422" s="151"/>
      <c r="H422" s="151"/>
    </row>
    <row r="423" ht="12.0" customHeight="1">
      <c r="E423" s="151"/>
      <c r="F423" s="151"/>
      <c r="G423" s="151"/>
      <c r="H423" s="151"/>
    </row>
    <row r="424" ht="12.0" customHeight="1">
      <c r="E424" s="151"/>
      <c r="F424" s="151"/>
      <c r="G424" s="151"/>
      <c r="H424" s="151"/>
    </row>
    <row r="425" ht="12.0" customHeight="1">
      <c r="E425" s="151"/>
      <c r="F425" s="151"/>
      <c r="G425" s="151"/>
      <c r="H425" s="151"/>
    </row>
    <row r="426" ht="12.0" customHeight="1">
      <c r="E426" s="151"/>
      <c r="F426" s="151"/>
      <c r="G426" s="151"/>
      <c r="H426" s="151"/>
    </row>
    <row r="427" ht="12.0" customHeight="1">
      <c r="E427" s="151"/>
      <c r="F427" s="151"/>
      <c r="G427" s="151"/>
      <c r="H427" s="151"/>
    </row>
    <row r="428" ht="12.0" customHeight="1">
      <c r="E428" s="151"/>
      <c r="F428" s="151"/>
      <c r="G428" s="151"/>
      <c r="H428" s="151"/>
    </row>
    <row r="429" ht="12.0" customHeight="1">
      <c r="E429" s="151"/>
      <c r="F429" s="151"/>
      <c r="G429" s="151"/>
      <c r="H429" s="151"/>
    </row>
    <row r="430" ht="12.0" customHeight="1">
      <c r="E430" s="151"/>
      <c r="F430" s="151"/>
      <c r="G430" s="151"/>
      <c r="H430" s="151"/>
    </row>
    <row r="431" ht="12.0" customHeight="1">
      <c r="E431" s="151"/>
      <c r="F431" s="151"/>
      <c r="G431" s="151"/>
      <c r="H431" s="151"/>
    </row>
    <row r="432" ht="12.0" customHeight="1">
      <c r="E432" s="151"/>
      <c r="F432" s="151"/>
      <c r="G432" s="151"/>
      <c r="H432" s="151"/>
    </row>
    <row r="433" ht="12.0" customHeight="1">
      <c r="E433" s="151"/>
      <c r="F433" s="151"/>
      <c r="G433" s="151"/>
      <c r="H433" s="151"/>
    </row>
    <row r="434" ht="12.0" customHeight="1">
      <c r="E434" s="151"/>
      <c r="F434" s="151"/>
      <c r="G434" s="151"/>
      <c r="H434" s="151"/>
    </row>
    <row r="435" ht="12.0" customHeight="1">
      <c r="E435" s="151"/>
      <c r="F435" s="151"/>
      <c r="G435" s="151"/>
      <c r="H435" s="151"/>
    </row>
    <row r="436" ht="12.0" customHeight="1">
      <c r="E436" s="151"/>
      <c r="F436" s="151"/>
      <c r="G436" s="151"/>
      <c r="H436" s="151"/>
    </row>
    <row r="437" ht="12.0" customHeight="1">
      <c r="E437" s="151"/>
      <c r="F437" s="151"/>
      <c r="G437" s="151"/>
      <c r="H437" s="151"/>
    </row>
    <row r="438" ht="12.0" customHeight="1">
      <c r="E438" s="151"/>
      <c r="F438" s="151"/>
      <c r="G438" s="151"/>
      <c r="H438" s="151"/>
    </row>
    <row r="439" ht="12.0" customHeight="1">
      <c r="E439" s="151"/>
      <c r="F439" s="151"/>
      <c r="G439" s="151"/>
      <c r="H439" s="151"/>
    </row>
    <row r="440" ht="12.0" customHeight="1">
      <c r="E440" s="151"/>
      <c r="F440" s="151"/>
      <c r="G440" s="151"/>
      <c r="H440" s="151"/>
    </row>
    <row r="441" ht="12.0" customHeight="1">
      <c r="E441" s="151"/>
      <c r="F441" s="151"/>
      <c r="G441" s="151"/>
      <c r="H441" s="151"/>
    </row>
    <row r="442" ht="12.0" customHeight="1">
      <c r="E442" s="151"/>
      <c r="F442" s="151"/>
      <c r="G442" s="151"/>
      <c r="H442" s="151"/>
    </row>
    <row r="443" ht="12.0" customHeight="1">
      <c r="E443" s="151"/>
      <c r="F443" s="151"/>
      <c r="G443" s="151"/>
      <c r="H443" s="151"/>
    </row>
    <row r="444" ht="12.0" customHeight="1">
      <c r="E444" s="151"/>
      <c r="F444" s="151"/>
      <c r="G444" s="151"/>
      <c r="H444" s="151"/>
    </row>
    <row r="445" ht="12.0" customHeight="1">
      <c r="E445" s="151"/>
      <c r="F445" s="151"/>
      <c r="G445" s="151"/>
      <c r="H445" s="151"/>
    </row>
    <row r="446" ht="12.0" customHeight="1">
      <c r="E446" s="151"/>
      <c r="F446" s="151"/>
      <c r="G446" s="151"/>
      <c r="H446" s="151"/>
    </row>
    <row r="447" ht="12.0" customHeight="1">
      <c r="E447" s="151"/>
      <c r="F447" s="151"/>
      <c r="G447" s="151"/>
      <c r="H447" s="151"/>
    </row>
    <row r="448" ht="12.0" customHeight="1">
      <c r="E448" s="151"/>
      <c r="F448" s="151"/>
      <c r="G448" s="151"/>
      <c r="H448" s="151"/>
    </row>
    <row r="449" ht="12.0" customHeight="1">
      <c r="E449" s="151"/>
      <c r="F449" s="151"/>
      <c r="G449" s="151"/>
      <c r="H449" s="151"/>
    </row>
    <row r="450" ht="12.0" customHeight="1">
      <c r="E450" s="151"/>
      <c r="F450" s="151"/>
      <c r="G450" s="151"/>
      <c r="H450" s="151"/>
    </row>
    <row r="451" ht="12.0" customHeight="1">
      <c r="E451" s="151"/>
      <c r="F451" s="151"/>
      <c r="G451" s="151"/>
      <c r="H451" s="151"/>
    </row>
    <row r="452" ht="12.0" customHeight="1">
      <c r="E452" s="151"/>
      <c r="F452" s="151"/>
      <c r="G452" s="151"/>
      <c r="H452" s="151"/>
    </row>
    <row r="453" ht="12.0" customHeight="1">
      <c r="E453" s="151"/>
      <c r="F453" s="151"/>
      <c r="G453" s="151"/>
      <c r="H453" s="151"/>
    </row>
    <row r="454" ht="12.0" customHeight="1">
      <c r="E454" s="151"/>
      <c r="F454" s="151"/>
      <c r="G454" s="151"/>
      <c r="H454" s="151"/>
    </row>
    <row r="455" ht="12.0" customHeight="1">
      <c r="E455" s="151"/>
      <c r="F455" s="151"/>
      <c r="G455" s="151"/>
      <c r="H455" s="151"/>
    </row>
    <row r="456" ht="12.0" customHeight="1">
      <c r="E456" s="151"/>
      <c r="F456" s="151"/>
      <c r="G456" s="151"/>
      <c r="H456" s="151"/>
    </row>
    <row r="457" ht="12.0" customHeight="1">
      <c r="E457" s="151"/>
      <c r="F457" s="151"/>
      <c r="G457" s="151"/>
      <c r="H457" s="151"/>
    </row>
    <row r="458" ht="12.0" customHeight="1">
      <c r="E458" s="151"/>
      <c r="F458" s="151"/>
      <c r="G458" s="151"/>
      <c r="H458" s="151"/>
    </row>
    <row r="459" ht="12.0" customHeight="1">
      <c r="E459" s="151"/>
      <c r="F459" s="151"/>
      <c r="G459" s="151"/>
      <c r="H459" s="151"/>
    </row>
    <row r="460" ht="12.0" customHeight="1">
      <c r="E460" s="151"/>
      <c r="F460" s="151"/>
      <c r="G460" s="151"/>
      <c r="H460" s="151"/>
    </row>
    <row r="461" ht="12.0" customHeight="1">
      <c r="E461" s="151"/>
      <c r="F461" s="151"/>
      <c r="G461" s="151"/>
      <c r="H461" s="151"/>
    </row>
    <row r="462" ht="12.0" customHeight="1">
      <c r="E462" s="151"/>
      <c r="F462" s="151"/>
      <c r="G462" s="151"/>
      <c r="H462" s="151"/>
    </row>
    <row r="463" ht="12.0" customHeight="1">
      <c r="E463" s="151"/>
      <c r="F463" s="151"/>
      <c r="G463" s="151"/>
      <c r="H463" s="151"/>
    </row>
    <row r="464" ht="12.0" customHeight="1">
      <c r="E464" s="151"/>
      <c r="F464" s="151"/>
      <c r="G464" s="151"/>
      <c r="H464" s="151"/>
    </row>
    <row r="465" ht="12.0" customHeight="1">
      <c r="E465" s="151"/>
      <c r="F465" s="151"/>
      <c r="G465" s="151"/>
      <c r="H465" s="151"/>
    </row>
    <row r="466" ht="12.0" customHeight="1">
      <c r="E466" s="151"/>
      <c r="F466" s="151"/>
      <c r="G466" s="151"/>
      <c r="H466" s="151"/>
    </row>
    <row r="467" ht="12.0" customHeight="1">
      <c r="E467" s="151"/>
      <c r="F467" s="151"/>
      <c r="G467" s="151"/>
      <c r="H467" s="151"/>
    </row>
    <row r="468" ht="12.0" customHeight="1">
      <c r="E468" s="151"/>
      <c r="F468" s="151"/>
      <c r="G468" s="151"/>
      <c r="H468" s="151"/>
    </row>
    <row r="469" ht="12.0" customHeight="1">
      <c r="E469" s="151"/>
      <c r="F469" s="151"/>
      <c r="G469" s="151"/>
      <c r="H469" s="151"/>
    </row>
    <row r="470" ht="12.0" customHeight="1">
      <c r="E470" s="151"/>
      <c r="F470" s="151"/>
      <c r="G470" s="151"/>
      <c r="H470" s="151"/>
    </row>
    <row r="471" ht="12.0" customHeight="1">
      <c r="E471" s="151"/>
      <c r="F471" s="151"/>
      <c r="G471" s="151"/>
      <c r="H471" s="151"/>
    </row>
    <row r="472" ht="12.0" customHeight="1">
      <c r="E472" s="151"/>
      <c r="F472" s="151"/>
      <c r="G472" s="151"/>
      <c r="H472" s="151"/>
    </row>
    <row r="473" ht="12.0" customHeight="1">
      <c r="E473" s="151"/>
      <c r="F473" s="151"/>
      <c r="G473" s="151"/>
      <c r="H473" s="151"/>
    </row>
    <row r="474" ht="12.0" customHeight="1">
      <c r="E474" s="151"/>
      <c r="F474" s="151"/>
      <c r="G474" s="151"/>
      <c r="H474" s="151"/>
    </row>
    <row r="475" ht="12.0" customHeight="1">
      <c r="E475" s="151"/>
      <c r="F475" s="151"/>
      <c r="G475" s="151"/>
      <c r="H475" s="151"/>
    </row>
    <row r="476" ht="12.0" customHeight="1">
      <c r="E476" s="151"/>
      <c r="F476" s="151"/>
      <c r="G476" s="151"/>
      <c r="H476" s="151"/>
    </row>
    <row r="477" ht="12.0" customHeight="1">
      <c r="E477" s="151"/>
      <c r="F477" s="151"/>
      <c r="G477" s="151"/>
      <c r="H477" s="151"/>
    </row>
    <row r="478" ht="12.0" customHeight="1">
      <c r="E478" s="151"/>
      <c r="F478" s="151"/>
      <c r="G478" s="151"/>
      <c r="H478" s="151"/>
    </row>
    <row r="479" ht="12.0" customHeight="1">
      <c r="E479" s="151"/>
      <c r="F479" s="151"/>
      <c r="G479" s="151"/>
      <c r="H479" s="151"/>
    </row>
    <row r="480" ht="12.0" customHeight="1">
      <c r="E480" s="151"/>
      <c r="F480" s="151"/>
      <c r="G480" s="151"/>
      <c r="H480" s="151"/>
    </row>
    <row r="481" ht="12.0" customHeight="1">
      <c r="E481" s="151"/>
      <c r="F481" s="151"/>
      <c r="G481" s="151"/>
      <c r="H481" s="151"/>
    </row>
    <row r="482" ht="12.0" customHeight="1">
      <c r="E482" s="151"/>
      <c r="F482" s="151"/>
      <c r="G482" s="151"/>
      <c r="H482" s="151"/>
    </row>
    <row r="483" ht="12.0" customHeight="1">
      <c r="E483" s="151"/>
      <c r="F483" s="151"/>
      <c r="G483" s="151"/>
      <c r="H483" s="151"/>
    </row>
    <row r="484" ht="12.0" customHeight="1">
      <c r="E484" s="151"/>
      <c r="F484" s="151"/>
      <c r="G484" s="151"/>
      <c r="H484" s="151"/>
    </row>
    <row r="485" ht="12.0" customHeight="1">
      <c r="E485" s="151"/>
      <c r="F485" s="151"/>
      <c r="G485" s="151"/>
      <c r="H485" s="151"/>
    </row>
    <row r="486" ht="12.0" customHeight="1">
      <c r="E486" s="151"/>
      <c r="F486" s="151"/>
      <c r="G486" s="151"/>
      <c r="H486" s="151"/>
    </row>
    <row r="487" ht="12.0" customHeight="1">
      <c r="E487" s="151"/>
      <c r="F487" s="151"/>
      <c r="G487" s="151"/>
      <c r="H487" s="151"/>
    </row>
    <row r="488" ht="12.0" customHeight="1">
      <c r="E488" s="151"/>
      <c r="F488" s="151"/>
      <c r="G488" s="151"/>
      <c r="H488" s="151"/>
    </row>
    <row r="489" ht="12.0" customHeight="1">
      <c r="E489" s="151"/>
      <c r="F489" s="151"/>
      <c r="G489" s="151"/>
      <c r="H489" s="151"/>
    </row>
    <row r="490" ht="12.0" customHeight="1">
      <c r="E490" s="151"/>
      <c r="F490" s="151"/>
      <c r="G490" s="151"/>
      <c r="H490" s="151"/>
    </row>
    <row r="491" ht="12.0" customHeight="1">
      <c r="E491" s="151"/>
      <c r="F491" s="151"/>
      <c r="G491" s="151"/>
      <c r="H491" s="151"/>
    </row>
    <row r="492" ht="12.0" customHeight="1">
      <c r="E492" s="151"/>
      <c r="F492" s="151"/>
      <c r="G492" s="151"/>
      <c r="H492" s="151"/>
    </row>
    <row r="493" ht="12.0" customHeight="1">
      <c r="E493" s="151"/>
      <c r="F493" s="151"/>
      <c r="G493" s="151"/>
      <c r="H493" s="151"/>
    </row>
    <row r="494" ht="12.0" customHeight="1">
      <c r="E494" s="151"/>
      <c r="F494" s="151"/>
      <c r="G494" s="151"/>
      <c r="H494" s="151"/>
    </row>
    <row r="495" ht="12.0" customHeight="1">
      <c r="E495" s="151"/>
      <c r="F495" s="151"/>
      <c r="G495" s="151"/>
      <c r="H495" s="151"/>
    </row>
    <row r="496" ht="12.0" customHeight="1">
      <c r="E496" s="151"/>
      <c r="F496" s="151"/>
      <c r="G496" s="151"/>
      <c r="H496" s="151"/>
    </row>
    <row r="497" ht="12.0" customHeight="1">
      <c r="E497" s="151"/>
      <c r="F497" s="151"/>
      <c r="G497" s="151"/>
      <c r="H497" s="151"/>
    </row>
    <row r="498" ht="12.0" customHeight="1">
      <c r="E498" s="151"/>
      <c r="F498" s="151"/>
      <c r="G498" s="151"/>
      <c r="H498" s="151"/>
    </row>
    <row r="499" ht="12.0" customHeight="1">
      <c r="E499" s="151"/>
      <c r="F499" s="151"/>
      <c r="G499" s="151"/>
      <c r="H499" s="151"/>
    </row>
    <row r="500" ht="12.0" customHeight="1">
      <c r="E500" s="151"/>
      <c r="F500" s="151"/>
      <c r="G500" s="151"/>
      <c r="H500" s="151"/>
    </row>
    <row r="501" ht="12.0" customHeight="1">
      <c r="E501" s="151"/>
      <c r="F501" s="151"/>
      <c r="G501" s="151"/>
      <c r="H501" s="151"/>
    </row>
    <row r="502" ht="12.0" customHeight="1">
      <c r="E502" s="151"/>
      <c r="F502" s="151"/>
      <c r="G502" s="151"/>
      <c r="H502" s="151"/>
    </row>
    <row r="503" ht="12.0" customHeight="1">
      <c r="E503" s="151"/>
      <c r="F503" s="151"/>
      <c r="G503" s="151"/>
      <c r="H503" s="151"/>
    </row>
    <row r="504" ht="12.0" customHeight="1">
      <c r="E504" s="151"/>
      <c r="F504" s="151"/>
      <c r="G504" s="151"/>
      <c r="H504" s="151"/>
    </row>
    <row r="505" ht="12.0" customHeight="1">
      <c r="E505" s="151"/>
      <c r="F505" s="151"/>
      <c r="G505" s="151"/>
      <c r="H505" s="151"/>
    </row>
    <row r="506" ht="12.0" customHeight="1">
      <c r="E506" s="151"/>
      <c r="F506" s="151"/>
      <c r="G506" s="151"/>
      <c r="H506" s="151"/>
    </row>
    <row r="507" ht="12.0" customHeight="1">
      <c r="E507" s="151"/>
      <c r="F507" s="151"/>
      <c r="G507" s="151"/>
      <c r="H507" s="151"/>
    </row>
    <row r="508" ht="12.0" customHeight="1">
      <c r="E508" s="151"/>
      <c r="F508" s="151"/>
      <c r="G508" s="151"/>
      <c r="H508" s="151"/>
    </row>
    <row r="509" ht="12.0" customHeight="1">
      <c r="E509" s="151"/>
      <c r="F509" s="151"/>
      <c r="G509" s="151"/>
      <c r="H509" s="151"/>
    </row>
    <row r="510" ht="12.0" customHeight="1">
      <c r="E510" s="151"/>
      <c r="F510" s="151"/>
      <c r="G510" s="151"/>
      <c r="H510" s="151"/>
    </row>
    <row r="511" ht="12.0" customHeight="1">
      <c r="E511" s="151"/>
      <c r="F511" s="151"/>
      <c r="G511" s="151"/>
      <c r="H511" s="151"/>
    </row>
    <row r="512" ht="12.0" customHeight="1">
      <c r="E512" s="151"/>
      <c r="F512" s="151"/>
      <c r="G512" s="151"/>
      <c r="H512" s="151"/>
    </row>
    <row r="513" ht="12.0" customHeight="1">
      <c r="E513" s="151"/>
      <c r="F513" s="151"/>
      <c r="G513" s="151"/>
      <c r="H513" s="151"/>
    </row>
    <row r="514" ht="12.0" customHeight="1">
      <c r="E514" s="151"/>
      <c r="F514" s="151"/>
      <c r="G514" s="151"/>
      <c r="H514" s="151"/>
    </row>
    <row r="515" ht="12.0" customHeight="1">
      <c r="E515" s="151"/>
      <c r="F515" s="151"/>
      <c r="G515" s="151"/>
      <c r="H515" s="151"/>
    </row>
    <row r="516" ht="12.0" customHeight="1">
      <c r="E516" s="151"/>
      <c r="F516" s="151"/>
      <c r="G516" s="151"/>
      <c r="H516" s="151"/>
    </row>
    <row r="517" ht="12.0" customHeight="1">
      <c r="E517" s="151"/>
      <c r="F517" s="151"/>
      <c r="G517" s="151"/>
      <c r="H517" s="151"/>
    </row>
    <row r="518" ht="12.0" customHeight="1">
      <c r="E518" s="151"/>
      <c r="F518" s="151"/>
      <c r="G518" s="151"/>
      <c r="H518" s="151"/>
    </row>
    <row r="519" ht="12.0" customHeight="1">
      <c r="E519" s="151"/>
      <c r="F519" s="151"/>
      <c r="G519" s="151"/>
      <c r="H519" s="151"/>
    </row>
    <row r="520" ht="12.0" customHeight="1">
      <c r="E520" s="151"/>
      <c r="F520" s="151"/>
      <c r="G520" s="151"/>
      <c r="H520" s="151"/>
    </row>
    <row r="521" ht="12.0" customHeight="1">
      <c r="E521" s="151"/>
      <c r="F521" s="151"/>
      <c r="G521" s="151"/>
      <c r="H521" s="151"/>
    </row>
    <row r="522" ht="12.0" customHeight="1">
      <c r="E522" s="151"/>
      <c r="F522" s="151"/>
      <c r="G522" s="151"/>
      <c r="H522" s="151"/>
    </row>
    <row r="523" ht="12.0" customHeight="1">
      <c r="E523" s="151"/>
      <c r="F523" s="151"/>
      <c r="G523" s="151"/>
      <c r="H523" s="151"/>
    </row>
    <row r="524" ht="12.0" customHeight="1">
      <c r="E524" s="151"/>
      <c r="F524" s="151"/>
      <c r="G524" s="151"/>
      <c r="H524" s="151"/>
    </row>
    <row r="525" ht="12.0" customHeight="1">
      <c r="E525" s="151"/>
      <c r="F525" s="151"/>
      <c r="G525" s="151"/>
      <c r="H525" s="151"/>
    </row>
    <row r="526" ht="12.0" customHeight="1">
      <c r="E526" s="151"/>
      <c r="F526" s="151"/>
      <c r="G526" s="151"/>
      <c r="H526" s="151"/>
    </row>
    <row r="527" ht="12.0" customHeight="1">
      <c r="E527" s="151"/>
      <c r="F527" s="151"/>
      <c r="G527" s="151"/>
      <c r="H527" s="151"/>
    </row>
    <row r="528" ht="12.0" customHeight="1">
      <c r="E528" s="151"/>
      <c r="F528" s="151"/>
      <c r="G528" s="151"/>
      <c r="H528" s="151"/>
    </row>
    <row r="529" ht="12.0" customHeight="1">
      <c r="E529" s="151"/>
      <c r="F529" s="151"/>
      <c r="G529" s="151"/>
      <c r="H529" s="151"/>
    </row>
    <row r="530" ht="12.0" customHeight="1">
      <c r="E530" s="151"/>
      <c r="F530" s="151"/>
      <c r="G530" s="151"/>
      <c r="H530" s="151"/>
    </row>
    <row r="531" ht="12.0" customHeight="1">
      <c r="E531" s="151"/>
      <c r="F531" s="151"/>
      <c r="G531" s="151"/>
      <c r="H531" s="151"/>
    </row>
    <row r="532" ht="12.0" customHeight="1">
      <c r="E532" s="151"/>
      <c r="F532" s="151"/>
      <c r="G532" s="151"/>
      <c r="H532" s="151"/>
    </row>
    <row r="533" ht="12.0" customHeight="1">
      <c r="E533" s="151"/>
      <c r="F533" s="151"/>
      <c r="G533" s="151"/>
      <c r="H533" s="151"/>
    </row>
    <row r="534" ht="12.0" customHeight="1">
      <c r="E534" s="151"/>
      <c r="F534" s="151"/>
      <c r="G534" s="151"/>
      <c r="H534" s="151"/>
    </row>
    <row r="535" ht="12.0" customHeight="1">
      <c r="E535" s="151"/>
      <c r="F535" s="151"/>
      <c r="G535" s="151"/>
      <c r="H535" s="151"/>
    </row>
    <row r="536" ht="12.0" customHeight="1">
      <c r="E536" s="151"/>
      <c r="F536" s="151"/>
      <c r="G536" s="151"/>
      <c r="H536" s="151"/>
    </row>
    <row r="537" ht="12.0" customHeight="1">
      <c r="E537" s="151"/>
      <c r="F537" s="151"/>
      <c r="G537" s="151"/>
      <c r="H537" s="151"/>
    </row>
    <row r="538" ht="12.0" customHeight="1">
      <c r="E538" s="151"/>
      <c r="F538" s="151"/>
      <c r="G538" s="151"/>
      <c r="H538" s="151"/>
    </row>
    <row r="539" ht="12.0" customHeight="1">
      <c r="E539" s="151"/>
      <c r="F539" s="151"/>
      <c r="G539" s="151"/>
      <c r="H539" s="151"/>
    </row>
    <row r="540" ht="12.0" customHeight="1">
      <c r="E540" s="151"/>
      <c r="F540" s="151"/>
      <c r="G540" s="151"/>
      <c r="H540" s="151"/>
    </row>
    <row r="541" ht="12.0" customHeight="1">
      <c r="E541" s="151"/>
      <c r="F541" s="151"/>
      <c r="G541" s="151"/>
      <c r="H541" s="151"/>
    </row>
    <row r="542" ht="12.0" customHeight="1">
      <c r="E542" s="151"/>
      <c r="F542" s="151"/>
      <c r="G542" s="151"/>
      <c r="H542" s="151"/>
    </row>
    <row r="543" ht="12.0" customHeight="1">
      <c r="E543" s="151"/>
      <c r="F543" s="151"/>
      <c r="G543" s="151"/>
      <c r="H543" s="151"/>
    </row>
    <row r="544" ht="12.0" customHeight="1">
      <c r="E544" s="151"/>
      <c r="F544" s="151"/>
      <c r="G544" s="151"/>
      <c r="H544" s="151"/>
    </row>
    <row r="545" ht="12.0" customHeight="1">
      <c r="E545" s="151"/>
      <c r="F545" s="151"/>
      <c r="G545" s="151"/>
      <c r="H545" s="151"/>
    </row>
    <row r="546" ht="12.0" customHeight="1">
      <c r="E546" s="151"/>
      <c r="F546" s="151"/>
      <c r="G546" s="151"/>
      <c r="H546" s="151"/>
    </row>
    <row r="547" ht="12.0" customHeight="1">
      <c r="E547" s="151"/>
      <c r="F547" s="151"/>
      <c r="G547" s="151"/>
      <c r="H547" s="151"/>
    </row>
    <row r="548" ht="12.0" customHeight="1">
      <c r="E548" s="151"/>
      <c r="F548" s="151"/>
      <c r="G548" s="151"/>
      <c r="H548" s="151"/>
    </row>
    <row r="549" ht="12.0" customHeight="1">
      <c r="E549" s="151"/>
      <c r="F549" s="151"/>
      <c r="G549" s="151"/>
      <c r="H549" s="151"/>
    </row>
    <row r="550" ht="12.0" customHeight="1">
      <c r="E550" s="151"/>
      <c r="F550" s="151"/>
      <c r="G550" s="151"/>
      <c r="H550" s="151"/>
    </row>
    <row r="551" ht="12.0" customHeight="1">
      <c r="E551" s="151"/>
      <c r="F551" s="151"/>
      <c r="G551" s="151"/>
      <c r="H551" s="151"/>
    </row>
    <row r="552" ht="12.0" customHeight="1">
      <c r="E552" s="151"/>
      <c r="F552" s="151"/>
      <c r="G552" s="151"/>
      <c r="H552" s="151"/>
    </row>
    <row r="553" ht="12.0" customHeight="1">
      <c r="E553" s="151"/>
      <c r="F553" s="151"/>
      <c r="G553" s="151"/>
      <c r="H553" s="151"/>
    </row>
    <row r="554" ht="12.0" customHeight="1">
      <c r="E554" s="151"/>
      <c r="F554" s="151"/>
      <c r="G554" s="151"/>
      <c r="H554" s="151"/>
    </row>
    <row r="555" ht="12.0" customHeight="1">
      <c r="E555" s="151"/>
      <c r="F555" s="151"/>
      <c r="G555" s="151"/>
      <c r="H555" s="151"/>
    </row>
    <row r="556" ht="12.0" customHeight="1">
      <c r="E556" s="151"/>
      <c r="F556" s="151"/>
      <c r="G556" s="151"/>
      <c r="H556" s="151"/>
    </row>
    <row r="557" ht="12.0" customHeight="1">
      <c r="E557" s="151"/>
      <c r="F557" s="151"/>
      <c r="G557" s="151"/>
      <c r="H557" s="151"/>
    </row>
    <row r="558" ht="12.0" customHeight="1">
      <c r="E558" s="151"/>
      <c r="F558" s="151"/>
      <c r="G558" s="151"/>
      <c r="H558" s="151"/>
    </row>
    <row r="559" ht="12.0" customHeight="1">
      <c r="E559" s="151"/>
      <c r="F559" s="151"/>
      <c r="G559" s="151"/>
      <c r="H559" s="151"/>
    </row>
    <row r="560" ht="12.0" customHeight="1">
      <c r="E560" s="151"/>
      <c r="F560" s="151"/>
      <c r="G560" s="151"/>
      <c r="H560" s="151"/>
    </row>
    <row r="561" ht="12.0" customHeight="1">
      <c r="E561" s="151"/>
      <c r="F561" s="151"/>
      <c r="G561" s="151"/>
      <c r="H561" s="151"/>
    </row>
    <row r="562" ht="12.0" customHeight="1">
      <c r="E562" s="151"/>
      <c r="F562" s="151"/>
      <c r="G562" s="151"/>
      <c r="H562" s="151"/>
    </row>
    <row r="563" ht="12.0" customHeight="1">
      <c r="E563" s="151"/>
      <c r="F563" s="151"/>
      <c r="G563" s="151"/>
      <c r="H563" s="151"/>
    </row>
    <row r="564" ht="12.0" customHeight="1">
      <c r="E564" s="151"/>
      <c r="F564" s="151"/>
      <c r="G564" s="151"/>
      <c r="H564" s="151"/>
    </row>
    <row r="565" ht="12.0" customHeight="1">
      <c r="E565" s="151"/>
      <c r="F565" s="151"/>
      <c r="G565" s="151"/>
      <c r="H565" s="151"/>
    </row>
    <row r="566" ht="12.0" customHeight="1">
      <c r="E566" s="151"/>
      <c r="F566" s="151"/>
      <c r="G566" s="151"/>
      <c r="H566" s="151"/>
    </row>
    <row r="567" ht="12.0" customHeight="1">
      <c r="E567" s="151"/>
      <c r="F567" s="151"/>
      <c r="G567" s="151"/>
      <c r="H567" s="151"/>
    </row>
    <row r="568" ht="12.0" customHeight="1">
      <c r="E568" s="151"/>
      <c r="F568" s="151"/>
      <c r="G568" s="151"/>
      <c r="H568" s="151"/>
    </row>
    <row r="569" ht="12.0" customHeight="1">
      <c r="E569" s="151"/>
      <c r="F569" s="151"/>
      <c r="G569" s="151"/>
      <c r="H569" s="151"/>
    </row>
    <row r="570" ht="12.0" customHeight="1">
      <c r="E570" s="151"/>
      <c r="F570" s="151"/>
      <c r="G570" s="151"/>
      <c r="H570" s="151"/>
    </row>
    <row r="571" ht="12.0" customHeight="1">
      <c r="E571" s="151"/>
      <c r="F571" s="151"/>
      <c r="G571" s="151"/>
      <c r="H571" s="151"/>
    </row>
    <row r="572" ht="12.0" customHeight="1">
      <c r="E572" s="151"/>
      <c r="F572" s="151"/>
      <c r="G572" s="151"/>
      <c r="H572" s="151"/>
    </row>
    <row r="573" ht="12.0" customHeight="1">
      <c r="E573" s="151"/>
      <c r="F573" s="151"/>
      <c r="G573" s="151"/>
      <c r="H573" s="151"/>
    </row>
    <row r="574" ht="12.0" customHeight="1">
      <c r="E574" s="151"/>
      <c r="F574" s="151"/>
      <c r="G574" s="151"/>
      <c r="H574" s="151"/>
    </row>
    <row r="575" ht="12.0" customHeight="1">
      <c r="E575" s="151"/>
      <c r="F575" s="151"/>
      <c r="G575" s="151"/>
      <c r="H575" s="151"/>
    </row>
    <row r="576" ht="12.0" customHeight="1">
      <c r="E576" s="151"/>
      <c r="F576" s="151"/>
      <c r="G576" s="151"/>
      <c r="H576" s="151"/>
    </row>
    <row r="577" ht="12.0" customHeight="1">
      <c r="E577" s="151"/>
      <c r="F577" s="151"/>
      <c r="G577" s="151"/>
      <c r="H577" s="151"/>
    </row>
    <row r="578" ht="12.0" customHeight="1">
      <c r="E578" s="151"/>
      <c r="F578" s="151"/>
      <c r="G578" s="151"/>
      <c r="H578" s="151"/>
    </row>
    <row r="579" ht="12.0" customHeight="1">
      <c r="E579" s="151"/>
      <c r="F579" s="151"/>
      <c r="G579" s="151"/>
      <c r="H579" s="151"/>
    </row>
    <row r="580" ht="12.0" customHeight="1">
      <c r="E580" s="151"/>
      <c r="F580" s="151"/>
      <c r="G580" s="151"/>
      <c r="H580" s="151"/>
    </row>
    <row r="581" ht="12.0" customHeight="1">
      <c r="E581" s="151"/>
      <c r="F581" s="151"/>
      <c r="G581" s="151"/>
      <c r="H581" s="151"/>
    </row>
    <row r="582" ht="12.0" customHeight="1">
      <c r="E582" s="151"/>
      <c r="F582" s="151"/>
      <c r="G582" s="151"/>
      <c r="H582" s="151"/>
    </row>
    <row r="583" ht="12.0" customHeight="1">
      <c r="E583" s="151"/>
      <c r="F583" s="151"/>
      <c r="G583" s="151"/>
      <c r="H583" s="151"/>
    </row>
    <row r="584" ht="12.0" customHeight="1">
      <c r="E584" s="151"/>
      <c r="F584" s="151"/>
      <c r="G584" s="151"/>
      <c r="H584" s="151"/>
    </row>
    <row r="585" ht="12.0" customHeight="1">
      <c r="E585" s="151"/>
      <c r="F585" s="151"/>
      <c r="G585" s="151"/>
      <c r="H585" s="151"/>
    </row>
    <row r="586" ht="12.0" customHeight="1">
      <c r="E586" s="151"/>
      <c r="F586" s="151"/>
      <c r="G586" s="151"/>
      <c r="H586" s="151"/>
    </row>
    <row r="587" ht="12.0" customHeight="1">
      <c r="E587" s="151"/>
      <c r="F587" s="151"/>
      <c r="G587" s="151"/>
      <c r="H587" s="151"/>
    </row>
    <row r="588" ht="12.0" customHeight="1">
      <c r="E588" s="151"/>
      <c r="F588" s="151"/>
      <c r="G588" s="151"/>
      <c r="H588" s="151"/>
    </row>
    <row r="589" ht="12.0" customHeight="1">
      <c r="E589" s="151"/>
      <c r="F589" s="151"/>
      <c r="G589" s="151"/>
      <c r="H589" s="151"/>
    </row>
    <row r="590" ht="12.0" customHeight="1">
      <c r="E590" s="151"/>
      <c r="F590" s="151"/>
      <c r="G590" s="151"/>
      <c r="H590" s="151"/>
    </row>
    <row r="591" ht="12.0" customHeight="1">
      <c r="E591" s="151"/>
      <c r="F591" s="151"/>
      <c r="G591" s="151"/>
      <c r="H591" s="151"/>
    </row>
    <row r="592" ht="12.0" customHeight="1">
      <c r="E592" s="151"/>
      <c r="F592" s="151"/>
      <c r="G592" s="151"/>
      <c r="H592" s="151"/>
    </row>
    <row r="593" ht="12.0" customHeight="1">
      <c r="E593" s="151"/>
      <c r="F593" s="151"/>
      <c r="G593" s="151"/>
      <c r="H593" s="151"/>
    </row>
    <row r="594" ht="12.0" customHeight="1">
      <c r="E594" s="151"/>
      <c r="F594" s="151"/>
      <c r="G594" s="151"/>
      <c r="H594" s="151"/>
    </row>
    <row r="595" ht="12.0" customHeight="1">
      <c r="E595" s="151"/>
      <c r="F595" s="151"/>
      <c r="G595" s="151"/>
      <c r="H595" s="151"/>
    </row>
    <row r="596" ht="12.0" customHeight="1">
      <c r="E596" s="151"/>
      <c r="F596" s="151"/>
      <c r="G596" s="151"/>
      <c r="H596" s="151"/>
    </row>
    <row r="597" ht="12.0" customHeight="1">
      <c r="E597" s="151"/>
      <c r="F597" s="151"/>
      <c r="G597" s="151"/>
      <c r="H597" s="151"/>
    </row>
    <row r="598" ht="12.0" customHeight="1">
      <c r="E598" s="151"/>
      <c r="F598" s="151"/>
      <c r="G598" s="151"/>
      <c r="H598" s="151"/>
    </row>
    <row r="599" ht="12.0" customHeight="1">
      <c r="E599" s="151"/>
      <c r="F599" s="151"/>
      <c r="G599" s="151"/>
      <c r="H599" s="151"/>
    </row>
    <row r="600" ht="12.0" customHeight="1">
      <c r="E600" s="151"/>
      <c r="F600" s="151"/>
      <c r="G600" s="151"/>
      <c r="H600" s="151"/>
    </row>
    <row r="601" ht="12.0" customHeight="1">
      <c r="E601" s="151"/>
      <c r="F601" s="151"/>
      <c r="G601" s="151"/>
      <c r="H601" s="151"/>
    </row>
    <row r="602" ht="12.0" customHeight="1">
      <c r="E602" s="151"/>
      <c r="F602" s="151"/>
      <c r="G602" s="151"/>
      <c r="H602" s="151"/>
    </row>
    <row r="603" ht="12.0" customHeight="1">
      <c r="E603" s="151"/>
      <c r="F603" s="151"/>
      <c r="G603" s="151"/>
      <c r="H603" s="151"/>
    </row>
    <row r="604" ht="12.0" customHeight="1">
      <c r="E604" s="151"/>
      <c r="F604" s="151"/>
      <c r="G604" s="151"/>
      <c r="H604" s="151"/>
    </row>
    <row r="605" ht="12.0" customHeight="1">
      <c r="E605" s="151"/>
      <c r="F605" s="151"/>
      <c r="G605" s="151"/>
      <c r="H605" s="151"/>
    </row>
    <row r="606" ht="12.0" customHeight="1">
      <c r="E606" s="151"/>
      <c r="F606" s="151"/>
      <c r="G606" s="151"/>
      <c r="H606" s="151"/>
    </row>
    <row r="607" ht="12.0" customHeight="1">
      <c r="E607" s="151"/>
      <c r="F607" s="151"/>
      <c r="G607" s="151"/>
      <c r="H607" s="151"/>
    </row>
    <row r="608" ht="12.0" customHeight="1">
      <c r="E608" s="151"/>
      <c r="F608" s="151"/>
      <c r="G608" s="151"/>
      <c r="H608" s="151"/>
    </row>
    <row r="609" ht="12.0" customHeight="1">
      <c r="E609" s="151"/>
      <c r="F609" s="151"/>
      <c r="G609" s="151"/>
      <c r="H609" s="151"/>
    </row>
    <row r="610" ht="12.0" customHeight="1">
      <c r="E610" s="151"/>
      <c r="F610" s="151"/>
      <c r="G610" s="151"/>
      <c r="H610" s="151"/>
    </row>
    <row r="611" ht="12.0" customHeight="1">
      <c r="E611" s="151"/>
      <c r="F611" s="151"/>
      <c r="G611" s="151"/>
      <c r="H611" s="151"/>
    </row>
    <row r="612" ht="12.0" customHeight="1">
      <c r="E612" s="151"/>
      <c r="F612" s="151"/>
      <c r="G612" s="151"/>
      <c r="H612" s="151"/>
    </row>
    <row r="613" ht="12.0" customHeight="1">
      <c r="E613" s="151"/>
      <c r="F613" s="151"/>
      <c r="G613" s="151"/>
      <c r="H613" s="151"/>
    </row>
    <row r="614" ht="12.0" customHeight="1">
      <c r="E614" s="151"/>
      <c r="F614" s="151"/>
      <c r="G614" s="151"/>
      <c r="H614" s="151"/>
    </row>
    <row r="615" ht="12.0" customHeight="1">
      <c r="E615" s="151"/>
      <c r="F615" s="151"/>
      <c r="G615" s="151"/>
      <c r="H615" s="151"/>
    </row>
    <row r="616" ht="12.0" customHeight="1">
      <c r="E616" s="151"/>
      <c r="F616" s="151"/>
      <c r="G616" s="151"/>
      <c r="H616" s="151"/>
    </row>
    <row r="617" ht="12.0" customHeight="1">
      <c r="E617" s="151"/>
      <c r="F617" s="151"/>
      <c r="G617" s="151"/>
      <c r="H617" s="151"/>
    </row>
    <row r="618" ht="12.0" customHeight="1">
      <c r="E618" s="151"/>
      <c r="F618" s="151"/>
      <c r="G618" s="151"/>
      <c r="H618" s="151"/>
    </row>
    <row r="619" ht="12.0" customHeight="1">
      <c r="E619" s="151"/>
      <c r="F619" s="151"/>
      <c r="G619" s="151"/>
      <c r="H619" s="151"/>
    </row>
    <row r="620" ht="12.0" customHeight="1">
      <c r="E620" s="151"/>
      <c r="F620" s="151"/>
      <c r="G620" s="151"/>
      <c r="H620" s="151"/>
    </row>
    <row r="621" ht="12.0" customHeight="1">
      <c r="E621" s="151"/>
      <c r="F621" s="151"/>
      <c r="G621" s="151"/>
      <c r="H621" s="151"/>
    </row>
    <row r="622" ht="12.0" customHeight="1">
      <c r="E622" s="151"/>
      <c r="F622" s="151"/>
      <c r="G622" s="151"/>
      <c r="H622" s="151"/>
    </row>
    <row r="623" ht="12.0" customHeight="1">
      <c r="E623" s="151"/>
      <c r="F623" s="151"/>
      <c r="G623" s="151"/>
      <c r="H623" s="151"/>
    </row>
    <row r="624" ht="12.0" customHeight="1">
      <c r="E624" s="151"/>
      <c r="F624" s="151"/>
      <c r="G624" s="151"/>
      <c r="H624" s="151"/>
    </row>
    <row r="625" ht="12.0" customHeight="1">
      <c r="E625" s="151"/>
      <c r="F625" s="151"/>
      <c r="G625" s="151"/>
      <c r="H625" s="151"/>
    </row>
    <row r="626" ht="12.0" customHeight="1">
      <c r="E626" s="151"/>
      <c r="F626" s="151"/>
      <c r="G626" s="151"/>
      <c r="H626" s="151"/>
    </row>
    <row r="627" ht="12.0" customHeight="1">
      <c r="E627" s="151"/>
      <c r="F627" s="151"/>
      <c r="G627" s="151"/>
      <c r="H627" s="151"/>
    </row>
    <row r="628" ht="12.0" customHeight="1">
      <c r="E628" s="151"/>
      <c r="F628" s="151"/>
      <c r="G628" s="151"/>
      <c r="H628" s="151"/>
    </row>
    <row r="629" ht="12.0" customHeight="1">
      <c r="E629" s="151"/>
      <c r="F629" s="151"/>
      <c r="G629" s="151"/>
      <c r="H629" s="151"/>
    </row>
    <row r="630" ht="12.0" customHeight="1">
      <c r="E630" s="151"/>
      <c r="F630" s="151"/>
      <c r="G630" s="151"/>
      <c r="H630" s="151"/>
    </row>
    <row r="631" ht="12.0" customHeight="1">
      <c r="E631" s="151"/>
      <c r="F631" s="151"/>
      <c r="G631" s="151"/>
      <c r="H631" s="151"/>
    </row>
    <row r="632" ht="12.0" customHeight="1">
      <c r="E632" s="151"/>
      <c r="F632" s="151"/>
      <c r="G632" s="151"/>
      <c r="H632" s="151"/>
    </row>
    <row r="633" ht="12.0" customHeight="1">
      <c r="E633" s="151"/>
      <c r="F633" s="151"/>
      <c r="G633" s="151"/>
      <c r="H633" s="151"/>
    </row>
    <row r="634" ht="12.0" customHeight="1">
      <c r="E634" s="151"/>
      <c r="F634" s="151"/>
      <c r="G634" s="151"/>
      <c r="H634" s="151"/>
    </row>
    <row r="635" ht="12.0" customHeight="1">
      <c r="E635" s="151"/>
      <c r="F635" s="151"/>
      <c r="G635" s="151"/>
      <c r="H635" s="151"/>
    </row>
    <row r="636" ht="12.0" customHeight="1">
      <c r="E636" s="151"/>
      <c r="F636" s="151"/>
      <c r="G636" s="151"/>
      <c r="H636" s="151"/>
    </row>
    <row r="637" ht="12.0" customHeight="1">
      <c r="E637" s="151"/>
      <c r="F637" s="151"/>
      <c r="G637" s="151"/>
      <c r="H637" s="151"/>
    </row>
    <row r="638" ht="12.0" customHeight="1">
      <c r="E638" s="151"/>
      <c r="F638" s="151"/>
      <c r="G638" s="151"/>
      <c r="H638" s="151"/>
    </row>
    <row r="639" ht="12.0" customHeight="1">
      <c r="E639" s="151"/>
      <c r="F639" s="151"/>
      <c r="G639" s="151"/>
      <c r="H639" s="151"/>
    </row>
    <row r="640" ht="12.0" customHeight="1">
      <c r="E640" s="151"/>
      <c r="F640" s="151"/>
      <c r="G640" s="151"/>
      <c r="H640" s="151"/>
    </row>
    <row r="641" ht="12.0" customHeight="1">
      <c r="E641" s="151"/>
      <c r="F641" s="151"/>
      <c r="G641" s="151"/>
      <c r="H641" s="151"/>
    </row>
    <row r="642" ht="12.0" customHeight="1">
      <c r="E642" s="151"/>
      <c r="F642" s="151"/>
      <c r="G642" s="151"/>
      <c r="H642" s="151"/>
    </row>
    <row r="643" ht="12.0" customHeight="1">
      <c r="E643" s="151"/>
      <c r="F643" s="151"/>
      <c r="G643" s="151"/>
      <c r="H643" s="151"/>
    </row>
    <row r="644" ht="12.0" customHeight="1">
      <c r="E644" s="151"/>
      <c r="F644" s="151"/>
      <c r="G644" s="151"/>
      <c r="H644" s="151"/>
    </row>
    <row r="645" ht="12.0" customHeight="1">
      <c r="E645" s="151"/>
      <c r="F645" s="151"/>
      <c r="G645" s="151"/>
      <c r="H645" s="151"/>
    </row>
    <row r="646" ht="12.0" customHeight="1">
      <c r="E646" s="151"/>
      <c r="F646" s="151"/>
      <c r="G646" s="151"/>
      <c r="H646" s="151"/>
    </row>
    <row r="647" ht="12.0" customHeight="1">
      <c r="E647" s="151"/>
      <c r="F647" s="151"/>
      <c r="G647" s="151"/>
      <c r="H647" s="151"/>
    </row>
    <row r="648" ht="12.0" customHeight="1">
      <c r="E648" s="151"/>
      <c r="F648" s="151"/>
      <c r="G648" s="151"/>
      <c r="H648" s="151"/>
    </row>
    <row r="649" ht="12.0" customHeight="1">
      <c r="E649" s="151"/>
      <c r="F649" s="151"/>
      <c r="G649" s="151"/>
      <c r="H649" s="151"/>
    </row>
    <row r="650" ht="12.0" customHeight="1">
      <c r="E650" s="151"/>
      <c r="F650" s="151"/>
      <c r="G650" s="151"/>
      <c r="H650" s="151"/>
    </row>
    <row r="651" ht="12.0" customHeight="1">
      <c r="E651" s="151"/>
      <c r="F651" s="151"/>
      <c r="G651" s="151"/>
      <c r="H651" s="151"/>
    </row>
    <row r="652" ht="12.0" customHeight="1">
      <c r="E652" s="151"/>
      <c r="F652" s="151"/>
      <c r="G652" s="151"/>
      <c r="H652" s="151"/>
    </row>
    <row r="653" ht="12.0" customHeight="1">
      <c r="E653" s="151"/>
      <c r="F653" s="151"/>
      <c r="G653" s="151"/>
      <c r="H653" s="151"/>
    </row>
    <row r="654" ht="12.0" customHeight="1">
      <c r="E654" s="151"/>
      <c r="F654" s="151"/>
      <c r="G654" s="151"/>
      <c r="H654" s="151"/>
    </row>
    <row r="655" ht="12.0" customHeight="1">
      <c r="E655" s="151"/>
      <c r="F655" s="151"/>
      <c r="G655" s="151"/>
      <c r="H655" s="151"/>
    </row>
    <row r="656" ht="12.0" customHeight="1">
      <c r="E656" s="151"/>
      <c r="F656" s="151"/>
      <c r="G656" s="151"/>
      <c r="H656" s="151"/>
    </row>
    <row r="657" ht="12.0" customHeight="1">
      <c r="E657" s="151"/>
      <c r="F657" s="151"/>
      <c r="G657" s="151"/>
      <c r="H657" s="151"/>
    </row>
    <row r="658" ht="12.0" customHeight="1">
      <c r="E658" s="151"/>
      <c r="F658" s="151"/>
      <c r="G658" s="151"/>
      <c r="H658" s="151"/>
    </row>
    <row r="659" ht="12.0" customHeight="1">
      <c r="E659" s="151"/>
      <c r="F659" s="151"/>
      <c r="G659" s="151"/>
      <c r="H659" s="151"/>
    </row>
    <row r="660" ht="12.0" customHeight="1">
      <c r="E660" s="151"/>
      <c r="F660" s="151"/>
      <c r="G660" s="151"/>
      <c r="H660" s="151"/>
    </row>
    <row r="661" ht="12.0" customHeight="1">
      <c r="E661" s="151"/>
      <c r="F661" s="151"/>
      <c r="G661" s="151"/>
      <c r="H661" s="151"/>
    </row>
    <row r="662" ht="12.0" customHeight="1">
      <c r="E662" s="151"/>
      <c r="F662" s="151"/>
      <c r="G662" s="151"/>
      <c r="H662" s="151"/>
    </row>
    <row r="663" ht="12.0" customHeight="1">
      <c r="E663" s="151"/>
      <c r="F663" s="151"/>
      <c r="G663" s="151"/>
      <c r="H663" s="151"/>
    </row>
    <row r="664" ht="12.0" customHeight="1">
      <c r="E664" s="151"/>
      <c r="F664" s="151"/>
      <c r="G664" s="151"/>
      <c r="H664" s="151"/>
    </row>
    <row r="665" ht="12.0" customHeight="1">
      <c r="E665" s="151"/>
      <c r="F665" s="151"/>
      <c r="G665" s="151"/>
      <c r="H665" s="151"/>
    </row>
    <row r="666" ht="12.0" customHeight="1">
      <c r="E666" s="151"/>
      <c r="F666" s="151"/>
      <c r="G666" s="151"/>
      <c r="H666" s="151"/>
    </row>
    <row r="667" ht="12.0" customHeight="1">
      <c r="E667" s="151"/>
      <c r="F667" s="151"/>
      <c r="G667" s="151"/>
      <c r="H667" s="151"/>
    </row>
    <row r="668" ht="12.0" customHeight="1">
      <c r="E668" s="151"/>
      <c r="F668" s="151"/>
      <c r="G668" s="151"/>
      <c r="H668" s="151"/>
    </row>
    <row r="669" ht="12.0" customHeight="1">
      <c r="E669" s="151"/>
      <c r="F669" s="151"/>
      <c r="G669" s="151"/>
      <c r="H669" s="151"/>
    </row>
    <row r="670" ht="12.0" customHeight="1">
      <c r="E670" s="151"/>
      <c r="F670" s="151"/>
      <c r="G670" s="151"/>
      <c r="H670" s="151"/>
    </row>
    <row r="671" ht="12.0" customHeight="1">
      <c r="E671" s="151"/>
      <c r="F671" s="151"/>
      <c r="G671" s="151"/>
      <c r="H671" s="151"/>
    </row>
    <row r="672" ht="12.0" customHeight="1">
      <c r="E672" s="151"/>
      <c r="F672" s="151"/>
      <c r="G672" s="151"/>
      <c r="H672" s="151"/>
    </row>
    <row r="673" ht="12.0" customHeight="1">
      <c r="E673" s="151"/>
      <c r="F673" s="151"/>
      <c r="G673" s="151"/>
      <c r="H673" s="151"/>
    </row>
    <row r="674" ht="12.0" customHeight="1">
      <c r="E674" s="151"/>
      <c r="F674" s="151"/>
      <c r="G674" s="151"/>
      <c r="H674" s="151"/>
    </row>
    <row r="675" ht="12.0" customHeight="1">
      <c r="E675" s="151"/>
      <c r="F675" s="151"/>
      <c r="G675" s="151"/>
      <c r="H675" s="151"/>
    </row>
    <row r="676" ht="12.0" customHeight="1">
      <c r="E676" s="151"/>
      <c r="F676" s="151"/>
      <c r="G676" s="151"/>
      <c r="H676" s="151"/>
    </row>
    <row r="677" ht="12.0" customHeight="1">
      <c r="E677" s="151"/>
      <c r="F677" s="151"/>
      <c r="G677" s="151"/>
      <c r="H677" s="151"/>
    </row>
    <row r="678" ht="12.0" customHeight="1">
      <c r="E678" s="151"/>
      <c r="F678" s="151"/>
      <c r="G678" s="151"/>
      <c r="H678" s="151"/>
    </row>
    <row r="679" ht="12.0" customHeight="1">
      <c r="E679" s="151"/>
      <c r="F679" s="151"/>
      <c r="G679" s="151"/>
      <c r="H679" s="151"/>
    </row>
    <row r="680" ht="12.0" customHeight="1">
      <c r="E680" s="151"/>
      <c r="F680" s="151"/>
      <c r="G680" s="151"/>
      <c r="H680" s="151"/>
    </row>
    <row r="681" ht="12.0" customHeight="1">
      <c r="E681" s="151"/>
      <c r="F681" s="151"/>
      <c r="G681" s="151"/>
      <c r="H681" s="151"/>
    </row>
    <row r="682" ht="12.0" customHeight="1">
      <c r="E682" s="151"/>
      <c r="F682" s="151"/>
      <c r="G682" s="151"/>
      <c r="H682" s="151"/>
    </row>
    <row r="683" ht="12.0" customHeight="1">
      <c r="E683" s="151"/>
      <c r="F683" s="151"/>
      <c r="G683" s="151"/>
      <c r="H683" s="151"/>
    </row>
    <row r="684" ht="12.0" customHeight="1">
      <c r="E684" s="151"/>
      <c r="F684" s="151"/>
      <c r="G684" s="151"/>
      <c r="H684" s="151"/>
    </row>
    <row r="685" ht="12.0" customHeight="1">
      <c r="E685" s="151"/>
      <c r="F685" s="151"/>
      <c r="G685" s="151"/>
      <c r="H685" s="151"/>
    </row>
    <row r="686" ht="12.0" customHeight="1">
      <c r="E686" s="151"/>
      <c r="F686" s="151"/>
      <c r="G686" s="151"/>
      <c r="H686" s="151"/>
    </row>
    <row r="687" ht="12.0" customHeight="1">
      <c r="E687" s="151"/>
      <c r="F687" s="151"/>
      <c r="G687" s="151"/>
      <c r="H687" s="151"/>
    </row>
    <row r="688" ht="12.0" customHeight="1">
      <c r="E688" s="151"/>
      <c r="F688" s="151"/>
      <c r="G688" s="151"/>
      <c r="H688" s="151"/>
    </row>
    <row r="689" ht="12.0" customHeight="1">
      <c r="E689" s="151"/>
      <c r="F689" s="151"/>
      <c r="G689" s="151"/>
      <c r="H689" s="151"/>
    </row>
    <row r="690" ht="12.0" customHeight="1">
      <c r="E690" s="151"/>
      <c r="F690" s="151"/>
      <c r="G690" s="151"/>
      <c r="H690" s="151"/>
    </row>
    <row r="691" ht="12.0" customHeight="1">
      <c r="E691" s="151"/>
      <c r="F691" s="151"/>
      <c r="G691" s="151"/>
      <c r="H691" s="151"/>
    </row>
    <row r="692" ht="12.0" customHeight="1">
      <c r="E692" s="151"/>
      <c r="F692" s="151"/>
      <c r="G692" s="151"/>
      <c r="H692" s="151"/>
    </row>
    <row r="693" ht="12.0" customHeight="1">
      <c r="E693" s="151"/>
      <c r="F693" s="151"/>
      <c r="G693" s="151"/>
      <c r="H693" s="151"/>
    </row>
    <row r="694" ht="12.0" customHeight="1">
      <c r="E694" s="151"/>
      <c r="F694" s="151"/>
      <c r="G694" s="151"/>
      <c r="H694" s="151"/>
    </row>
    <row r="695" ht="12.0" customHeight="1">
      <c r="E695" s="151"/>
      <c r="F695" s="151"/>
      <c r="G695" s="151"/>
      <c r="H695" s="151"/>
    </row>
    <row r="696" ht="12.0" customHeight="1">
      <c r="E696" s="151"/>
      <c r="F696" s="151"/>
      <c r="G696" s="151"/>
      <c r="H696" s="151"/>
    </row>
    <row r="697" ht="12.0" customHeight="1">
      <c r="E697" s="151"/>
      <c r="F697" s="151"/>
      <c r="G697" s="151"/>
      <c r="H697" s="151"/>
    </row>
    <row r="698" ht="12.0" customHeight="1">
      <c r="E698" s="151"/>
      <c r="F698" s="151"/>
      <c r="G698" s="151"/>
      <c r="H698" s="151"/>
    </row>
    <row r="699" ht="12.0" customHeight="1">
      <c r="E699" s="151"/>
      <c r="F699" s="151"/>
      <c r="G699" s="151"/>
      <c r="H699" s="151"/>
    </row>
    <row r="700" ht="12.0" customHeight="1">
      <c r="E700" s="151"/>
      <c r="F700" s="151"/>
      <c r="G700" s="151"/>
      <c r="H700" s="151"/>
    </row>
    <row r="701" ht="12.0" customHeight="1">
      <c r="E701" s="151"/>
      <c r="F701" s="151"/>
      <c r="G701" s="151"/>
      <c r="H701" s="151"/>
    </row>
    <row r="702" ht="12.0" customHeight="1">
      <c r="E702" s="151"/>
      <c r="F702" s="151"/>
      <c r="G702" s="151"/>
      <c r="H702" s="151"/>
    </row>
    <row r="703" ht="12.0" customHeight="1">
      <c r="E703" s="151"/>
      <c r="F703" s="151"/>
      <c r="G703" s="151"/>
      <c r="H703" s="151"/>
    </row>
    <row r="704" ht="12.0" customHeight="1">
      <c r="E704" s="151"/>
      <c r="F704" s="151"/>
      <c r="G704" s="151"/>
      <c r="H704" s="151"/>
    </row>
    <row r="705" ht="12.0" customHeight="1">
      <c r="E705" s="151"/>
      <c r="F705" s="151"/>
      <c r="G705" s="151"/>
      <c r="H705" s="151"/>
    </row>
    <row r="706" ht="12.0" customHeight="1">
      <c r="E706" s="151"/>
      <c r="F706" s="151"/>
      <c r="G706" s="151"/>
      <c r="H706" s="151"/>
    </row>
    <row r="707" ht="12.0" customHeight="1">
      <c r="E707" s="151"/>
      <c r="F707" s="151"/>
      <c r="G707" s="151"/>
      <c r="H707" s="151"/>
    </row>
    <row r="708" ht="12.0" customHeight="1">
      <c r="E708" s="151"/>
      <c r="F708" s="151"/>
      <c r="G708" s="151"/>
      <c r="H708" s="151"/>
    </row>
    <row r="709" ht="12.0" customHeight="1">
      <c r="E709" s="151"/>
      <c r="F709" s="151"/>
      <c r="G709" s="151"/>
      <c r="H709" s="151"/>
    </row>
    <row r="710" ht="12.0" customHeight="1">
      <c r="E710" s="151"/>
      <c r="F710" s="151"/>
      <c r="G710" s="151"/>
      <c r="H710" s="151"/>
    </row>
    <row r="711" ht="12.0" customHeight="1">
      <c r="E711" s="151"/>
      <c r="F711" s="151"/>
      <c r="G711" s="151"/>
      <c r="H711" s="151"/>
    </row>
    <row r="712" ht="12.0" customHeight="1">
      <c r="E712" s="151"/>
      <c r="F712" s="151"/>
      <c r="G712" s="151"/>
      <c r="H712" s="151"/>
    </row>
    <row r="713" ht="12.0" customHeight="1">
      <c r="E713" s="151"/>
      <c r="F713" s="151"/>
      <c r="G713" s="151"/>
      <c r="H713" s="151"/>
    </row>
    <row r="714" ht="12.0" customHeight="1">
      <c r="E714" s="151"/>
      <c r="F714" s="151"/>
      <c r="G714" s="151"/>
      <c r="H714" s="151"/>
    </row>
    <row r="715" ht="12.0" customHeight="1">
      <c r="E715" s="151"/>
      <c r="F715" s="151"/>
      <c r="G715" s="151"/>
      <c r="H715" s="151"/>
    </row>
    <row r="716" ht="12.0" customHeight="1">
      <c r="E716" s="151"/>
      <c r="F716" s="151"/>
      <c r="G716" s="151"/>
      <c r="H716" s="151"/>
    </row>
    <row r="717" ht="12.0" customHeight="1">
      <c r="E717" s="151"/>
      <c r="F717" s="151"/>
      <c r="G717" s="151"/>
      <c r="H717" s="151"/>
    </row>
    <row r="718" ht="12.0" customHeight="1">
      <c r="E718" s="151"/>
      <c r="F718" s="151"/>
      <c r="G718" s="151"/>
      <c r="H718" s="151"/>
    </row>
    <row r="719" ht="12.0" customHeight="1">
      <c r="E719" s="151"/>
      <c r="F719" s="151"/>
      <c r="G719" s="151"/>
      <c r="H719" s="151"/>
    </row>
    <row r="720" ht="12.0" customHeight="1">
      <c r="E720" s="151"/>
      <c r="F720" s="151"/>
      <c r="G720" s="151"/>
      <c r="H720" s="151"/>
    </row>
    <row r="721" ht="12.0" customHeight="1">
      <c r="E721" s="151"/>
      <c r="F721" s="151"/>
      <c r="G721" s="151"/>
      <c r="H721" s="151"/>
    </row>
    <row r="722" ht="12.0" customHeight="1">
      <c r="E722" s="151"/>
      <c r="F722" s="151"/>
      <c r="G722" s="151"/>
      <c r="H722" s="151"/>
    </row>
    <row r="723" ht="12.0" customHeight="1">
      <c r="E723" s="151"/>
      <c r="F723" s="151"/>
      <c r="G723" s="151"/>
      <c r="H723" s="151"/>
    </row>
    <row r="724" ht="12.0" customHeight="1">
      <c r="E724" s="151"/>
      <c r="F724" s="151"/>
      <c r="G724" s="151"/>
      <c r="H724" s="151"/>
    </row>
    <row r="725" ht="12.0" customHeight="1">
      <c r="E725" s="151"/>
      <c r="F725" s="151"/>
      <c r="G725" s="151"/>
      <c r="H725" s="151"/>
    </row>
    <row r="726" ht="12.0" customHeight="1">
      <c r="E726" s="151"/>
      <c r="F726" s="151"/>
      <c r="G726" s="151"/>
      <c r="H726" s="151"/>
    </row>
    <row r="727" ht="12.0" customHeight="1">
      <c r="E727" s="151"/>
      <c r="F727" s="151"/>
      <c r="G727" s="151"/>
      <c r="H727" s="151"/>
    </row>
    <row r="728" ht="12.0" customHeight="1">
      <c r="E728" s="151"/>
      <c r="F728" s="151"/>
      <c r="G728" s="151"/>
      <c r="H728" s="151"/>
    </row>
    <row r="729" ht="12.0" customHeight="1">
      <c r="E729" s="151"/>
      <c r="F729" s="151"/>
      <c r="G729" s="151"/>
      <c r="H729" s="151"/>
    </row>
    <row r="730" ht="12.0" customHeight="1">
      <c r="E730" s="151"/>
      <c r="F730" s="151"/>
      <c r="G730" s="151"/>
      <c r="H730" s="151"/>
    </row>
    <row r="731" ht="12.0" customHeight="1">
      <c r="E731" s="151"/>
      <c r="F731" s="151"/>
      <c r="G731" s="151"/>
      <c r="H731" s="151"/>
    </row>
    <row r="732" ht="12.0" customHeight="1">
      <c r="E732" s="151"/>
      <c r="F732" s="151"/>
      <c r="G732" s="151"/>
      <c r="H732" s="151"/>
    </row>
    <row r="733" ht="12.0" customHeight="1">
      <c r="E733" s="151"/>
      <c r="F733" s="151"/>
      <c r="G733" s="151"/>
      <c r="H733" s="151"/>
    </row>
    <row r="734" ht="12.0" customHeight="1">
      <c r="E734" s="151"/>
      <c r="F734" s="151"/>
      <c r="G734" s="151"/>
      <c r="H734" s="151"/>
    </row>
    <row r="735" ht="12.0" customHeight="1">
      <c r="E735" s="151"/>
      <c r="F735" s="151"/>
      <c r="G735" s="151"/>
      <c r="H735" s="151"/>
    </row>
    <row r="736" ht="12.0" customHeight="1">
      <c r="E736" s="151"/>
      <c r="F736" s="151"/>
      <c r="G736" s="151"/>
      <c r="H736" s="151"/>
    </row>
    <row r="737" ht="12.0" customHeight="1">
      <c r="E737" s="151"/>
      <c r="F737" s="151"/>
      <c r="G737" s="151"/>
      <c r="H737" s="151"/>
    </row>
    <row r="738" ht="12.0" customHeight="1">
      <c r="E738" s="151"/>
      <c r="F738" s="151"/>
      <c r="G738" s="151"/>
      <c r="H738" s="151"/>
    </row>
    <row r="739" ht="12.0" customHeight="1">
      <c r="E739" s="151"/>
      <c r="F739" s="151"/>
      <c r="G739" s="151"/>
      <c r="H739" s="151"/>
    </row>
    <row r="740" ht="12.0" customHeight="1">
      <c r="E740" s="151"/>
      <c r="F740" s="151"/>
      <c r="G740" s="151"/>
      <c r="H740" s="151"/>
    </row>
    <row r="741" ht="12.0" customHeight="1">
      <c r="E741" s="151"/>
      <c r="F741" s="151"/>
      <c r="G741" s="151"/>
      <c r="H741" s="151"/>
    </row>
    <row r="742" ht="12.0" customHeight="1">
      <c r="E742" s="151"/>
      <c r="F742" s="151"/>
      <c r="G742" s="151"/>
      <c r="H742" s="151"/>
    </row>
    <row r="743" ht="12.0" customHeight="1">
      <c r="E743" s="151"/>
      <c r="F743" s="151"/>
      <c r="G743" s="151"/>
      <c r="H743" s="151"/>
    </row>
    <row r="744" ht="12.0" customHeight="1">
      <c r="E744" s="151"/>
      <c r="F744" s="151"/>
      <c r="G744" s="151"/>
      <c r="H744" s="151"/>
    </row>
    <row r="745" ht="12.0" customHeight="1">
      <c r="E745" s="151"/>
      <c r="F745" s="151"/>
      <c r="G745" s="151"/>
      <c r="H745" s="151"/>
    </row>
    <row r="746" ht="12.0" customHeight="1">
      <c r="E746" s="151"/>
      <c r="F746" s="151"/>
      <c r="G746" s="151"/>
      <c r="H746" s="151"/>
    </row>
    <row r="747" ht="12.0" customHeight="1">
      <c r="E747" s="151"/>
      <c r="F747" s="151"/>
      <c r="G747" s="151"/>
      <c r="H747" s="151"/>
    </row>
    <row r="748" ht="12.0" customHeight="1">
      <c r="E748" s="151"/>
      <c r="F748" s="151"/>
      <c r="G748" s="151"/>
      <c r="H748" s="151"/>
    </row>
    <row r="749" ht="12.0" customHeight="1">
      <c r="E749" s="151"/>
      <c r="F749" s="151"/>
      <c r="G749" s="151"/>
      <c r="H749" s="151"/>
    </row>
    <row r="750" ht="12.0" customHeight="1">
      <c r="E750" s="151"/>
      <c r="F750" s="151"/>
      <c r="G750" s="151"/>
      <c r="H750" s="151"/>
    </row>
    <row r="751" ht="12.0" customHeight="1">
      <c r="E751" s="151"/>
      <c r="F751" s="151"/>
      <c r="G751" s="151"/>
      <c r="H751" s="151"/>
    </row>
    <row r="752" ht="12.0" customHeight="1">
      <c r="E752" s="151"/>
      <c r="F752" s="151"/>
      <c r="G752" s="151"/>
      <c r="H752" s="151"/>
    </row>
    <row r="753" ht="12.0" customHeight="1">
      <c r="E753" s="151"/>
      <c r="F753" s="151"/>
      <c r="G753" s="151"/>
      <c r="H753" s="151"/>
    </row>
    <row r="754" ht="12.0" customHeight="1">
      <c r="E754" s="151"/>
      <c r="F754" s="151"/>
      <c r="G754" s="151"/>
      <c r="H754" s="151"/>
    </row>
    <row r="755" ht="12.0" customHeight="1">
      <c r="E755" s="151"/>
      <c r="F755" s="151"/>
      <c r="G755" s="151"/>
      <c r="H755" s="151"/>
    </row>
    <row r="756" ht="12.0" customHeight="1">
      <c r="E756" s="151"/>
      <c r="F756" s="151"/>
      <c r="G756" s="151"/>
      <c r="H756" s="151"/>
    </row>
    <row r="757" ht="12.0" customHeight="1">
      <c r="E757" s="151"/>
      <c r="F757" s="151"/>
      <c r="G757" s="151"/>
      <c r="H757" s="151"/>
    </row>
    <row r="758" ht="12.0" customHeight="1">
      <c r="E758" s="151"/>
      <c r="F758" s="151"/>
      <c r="G758" s="151"/>
      <c r="H758" s="151"/>
    </row>
    <row r="759" ht="12.0" customHeight="1">
      <c r="E759" s="151"/>
      <c r="F759" s="151"/>
      <c r="G759" s="151"/>
      <c r="H759" s="151"/>
    </row>
    <row r="760" ht="12.0" customHeight="1">
      <c r="E760" s="151"/>
      <c r="F760" s="151"/>
      <c r="G760" s="151"/>
      <c r="H760" s="151"/>
    </row>
    <row r="761" ht="12.0" customHeight="1">
      <c r="E761" s="151"/>
      <c r="F761" s="151"/>
      <c r="G761" s="151"/>
      <c r="H761" s="151"/>
    </row>
    <row r="762" ht="12.0" customHeight="1">
      <c r="E762" s="151"/>
      <c r="F762" s="151"/>
      <c r="G762" s="151"/>
      <c r="H762" s="151"/>
    </row>
    <row r="763" ht="12.0" customHeight="1">
      <c r="E763" s="151"/>
      <c r="F763" s="151"/>
      <c r="G763" s="151"/>
      <c r="H763" s="151"/>
    </row>
    <row r="764" ht="12.0" customHeight="1">
      <c r="E764" s="151"/>
      <c r="F764" s="151"/>
      <c r="G764" s="151"/>
      <c r="H764" s="151"/>
    </row>
    <row r="765" ht="12.0" customHeight="1">
      <c r="E765" s="151"/>
      <c r="F765" s="151"/>
      <c r="G765" s="151"/>
      <c r="H765" s="151"/>
    </row>
    <row r="766" ht="12.0" customHeight="1">
      <c r="E766" s="151"/>
      <c r="F766" s="151"/>
      <c r="G766" s="151"/>
      <c r="H766" s="151"/>
    </row>
    <row r="767" ht="12.0" customHeight="1">
      <c r="E767" s="151"/>
      <c r="F767" s="151"/>
      <c r="G767" s="151"/>
      <c r="H767" s="151"/>
    </row>
    <row r="768" ht="12.0" customHeight="1">
      <c r="E768" s="151"/>
      <c r="F768" s="151"/>
      <c r="G768" s="151"/>
      <c r="H768" s="151"/>
    </row>
    <row r="769" ht="12.0" customHeight="1">
      <c r="E769" s="151"/>
      <c r="F769" s="151"/>
      <c r="G769" s="151"/>
      <c r="H769" s="151"/>
    </row>
    <row r="770" ht="12.0" customHeight="1">
      <c r="E770" s="151"/>
      <c r="F770" s="151"/>
      <c r="G770" s="151"/>
      <c r="H770" s="151"/>
    </row>
    <row r="771" ht="12.0" customHeight="1">
      <c r="E771" s="151"/>
      <c r="F771" s="151"/>
      <c r="G771" s="151"/>
      <c r="H771" s="151"/>
    </row>
    <row r="772" ht="12.0" customHeight="1">
      <c r="E772" s="151"/>
      <c r="F772" s="151"/>
      <c r="G772" s="151"/>
      <c r="H772" s="151"/>
    </row>
    <row r="773" ht="12.0" customHeight="1">
      <c r="E773" s="151"/>
      <c r="F773" s="151"/>
      <c r="G773" s="151"/>
      <c r="H773" s="151"/>
    </row>
    <row r="774" ht="12.0" customHeight="1">
      <c r="E774" s="151"/>
      <c r="F774" s="151"/>
      <c r="G774" s="151"/>
      <c r="H774" s="151"/>
    </row>
    <row r="775" ht="12.0" customHeight="1">
      <c r="E775" s="151"/>
      <c r="F775" s="151"/>
      <c r="G775" s="151"/>
      <c r="H775" s="151"/>
    </row>
    <row r="776" ht="12.0" customHeight="1">
      <c r="E776" s="151"/>
      <c r="F776" s="151"/>
      <c r="G776" s="151"/>
      <c r="H776" s="151"/>
    </row>
    <row r="777" ht="12.0" customHeight="1">
      <c r="E777" s="151"/>
      <c r="F777" s="151"/>
      <c r="G777" s="151"/>
      <c r="H777" s="151"/>
    </row>
    <row r="778" ht="12.0" customHeight="1">
      <c r="E778" s="151"/>
      <c r="F778" s="151"/>
      <c r="G778" s="151"/>
      <c r="H778" s="151"/>
    </row>
    <row r="779" ht="12.0" customHeight="1">
      <c r="E779" s="151"/>
      <c r="F779" s="151"/>
      <c r="G779" s="151"/>
      <c r="H779" s="151"/>
    </row>
    <row r="780" ht="12.0" customHeight="1">
      <c r="E780" s="151"/>
      <c r="F780" s="151"/>
      <c r="G780" s="151"/>
      <c r="H780" s="151"/>
    </row>
    <row r="781" ht="12.0" customHeight="1">
      <c r="E781" s="151"/>
      <c r="F781" s="151"/>
      <c r="G781" s="151"/>
      <c r="H781" s="151"/>
    </row>
    <row r="782" ht="12.0" customHeight="1">
      <c r="E782" s="151"/>
      <c r="F782" s="151"/>
      <c r="G782" s="151"/>
      <c r="H782" s="151"/>
    </row>
    <row r="783" ht="12.0" customHeight="1">
      <c r="E783" s="151"/>
      <c r="F783" s="151"/>
      <c r="G783" s="151"/>
      <c r="H783" s="151"/>
    </row>
    <row r="784" ht="12.0" customHeight="1">
      <c r="E784" s="151"/>
      <c r="F784" s="151"/>
      <c r="G784" s="151"/>
      <c r="H784" s="151"/>
    </row>
    <row r="785" ht="12.0" customHeight="1">
      <c r="E785" s="151"/>
      <c r="F785" s="151"/>
      <c r="G785" s="151"/>
      <c r="H785" s="151"/>
    </row>
    <row r="786" ht="12.0" customHeight="1">
      <c r="E786" s="151"/>
      <c r="F786" s="151"/>
      <c r="G786" s="151"/>
      <c r="H786" s="151"/>
    </row>
    <row r="787" ht="12.0" customHeight="1">
      <c r="E787" s="151"/>
      <c r="F787" s="151"/>
      <c r="G787" s="151"/>
      <c r="H787" s="151"/>
    </row>
    <row r="788" ht="12.0" customHeight="1">
      <c r="E788" s="151"/>
      <c r="F788" s="151"/>
      <c r="G788" s="151"/>
      <c r="H788" s="151"/>
    </row>
    <row r="789" ht="12.0" customHeight="1">
      <c r="E789" s="151"/>
      <c r="F789" s="151"/>
      <c r="G789" s="151"/>
      <c r="H789" s="151"/>
    </row>
    <row r="790" ht="12.0" customHeight="1">
      <c r="E790" s="151"/>
      <c r="F790" s="151"/>
      <c r="G790" s="151"/>
      <c r="H790" s="151"/>
    </row>
    <row r="791" ht="12.0" customHeight="1">
      <c r="E791" s="151"/>
      <c r="F791" s="151"/>
      <c r="G791" s="151"/>
      <c r="H791" s="151"/>
    </row>
    <row r="792" ht="12.0" customHeight="1">
      <c r="E792" s="151"/>
      <c r="F792" s="151"/>
      <c r="G792" s="151"/>
      <c r="H792" s="151"/>
    </row>
    <row r="793" ht="12.0" customHeight="1">
      <c r="E793" s="151"/>
      <c r="F793" s="151"/>
      <c r="G793" s="151"/>
      <c r="H793" s="151"/>
    </row>
    <row r="794" ht="12.0" customHeight="1">
      <c r="E794" s="151"/>
      <c r="F794" s="151"/>
      <c r="G794" s="151"/>
      <c r="H794" s="151"/>
    </row>
    <row r="795" ht="12.0" customHeight="1">
      <c r="E795" s="151"/>
      <c r="F795" s="151"/>
      <c r="G795" s="151"/>
      <c r="H795" s="151"/>
    </row>
    <row r="796" ht="12.0" customHeight="1">
      <c r="E796" s="151"/>
      <c r="F796" s="151"/>
      <c r="G796" s="151"/>
      <c r="H796" s="151"/>
    </row>
    <row r="797" ht="12.0" customHeight="1">
      <c r="E797" s="151"/>
      <c r="F797" s="151"/>
      <c r="G797" s="151"/>
      <c r="H797" s="151"/>
    </row>
    <row r="798" ht="12.0" customHeight="1">
      <c r="E798" s="151"/>
      <c r="F798" s="151"/>
      <c r="G798" s="151"/>
      <c r="H798" s="151"/>
    </row>
    <row r="799" ht="12.0" customHeight="1">
      <c r="E799" s="151"/>
      <c r="F799" s="151"/>
      <c r="G799" s="151"/>
      <c r="H799" s="151"/>
    </row>
    <row r="800" ht="12.0" customHeight="1">
      <c r="E800" s="151"/>
      <c r="F800" s="151"/>
      <c r="G800" s="151"/>
      <c r="H800" s="151"/>
    </row>
    <row r="801" ht="12.0" customHeight="1">
      <c r="E801" s="151"/>
      <c r="F801" s="151"/>
      <c r="G801" s="151"/>
      <c r="H801" s="151"/>
    </row>
    <row r="802" ht="12.0" customHeight="1">
      <c r="E802" s="151"/>
      <c r="F802" s="151"/>
      <c r="G802" s="151"/>
      <c r="H802" s="151"/>
    </row>
    <row r="803" ht="12.0" customHeight="1">
      <c r="E803" s="151"/>
      <c r="F803" s="151"/>
      <c r="G803" s="151"/>
      <c r="H803" s="151"/>
    </row>
    <row r="804" ht="12.0" customHeight="1">
      <c r="E804" s="151"/>
      <c r="F804" s="151"/>
      <c r="G804" s="151"/>
      <c r="H804" s="151"/>
    </row>
    <row r="805" ht="12.0" customHeight="1">
      <c r="E805" s="151"/>
      <c r="F805" s="151"/>
      <c r="G805" s="151"/>
      <c r="H805" s="151"/>
    </row>
    <row r="806" ht="12.0" customHeight="1">
      <c r="E806" s="151"/>
      <c r="F806" s="151"/>
      <c r="G806" s="151"/>
      <c r="H806" s="151"/>
    </row>
    <row r="807" ht="12.0" customHeight="1">
      <c r="E807" s="151"/>
      <c r="F807" s="151"/>
      <c r="G807" s="151"/>
      <c r="H807" s="151"/>
    </row>
    <row r="808" ht="12.0" customHeight="1">
      <c r="E808" s="151"/>
      <c r="F808" s="151"/>
      <c r="G808" s="151"/>
      <c r="H808" s="151"/>
    </row>
    <row r="809" ht="12.0" customHeight="1">
      <c r="E809" s="151"/>
      <c r="F809" s="151"/>
      <c r="G809" s="151"/>
      <c r="H809" s="151"/>
    </row>
    <row r="810" ht="12.0" customHeight="1">
      <c r="E810" s="151"/>
      <c r="F810" s="151"/>
      <c r="G810" s="151"/>
      <c r="H810" s="151"/>
    </row>
    <row r="811" ht="12.0" customHeight="1">
      <c r="E811" s="151"/>
      <c r="F811" s="151"/>
      <c r="G811" s="151"/>
      <c r="H811" s="151"/>
    </row>
    <row r="812" ht="12.0" customHeight="1">
      <c r="E812" s="151"/>
      <c r="F812" s="151"/>
      <c r="G812" s="151"/>
      <c r="H812" s="151"/>
    </row>
    <row r="813" ht="12.0" customHeight="1">
      <c r="E813" s="151"/>
      <c r="F813" s="151"/>
      <c r="G813" s="151"/>
      <c r="H813" s="151"/>
    </row>
    <row r="814" ht="12.0" customHeight="1">
      <c r="E814" s="151"/>
      <c r="F814" s="151"/>
      <c r="G814" s="151"/>
      <c r="H814" s="151"/>
    </row>
    <row r="815" ht="12.0" customHeight="1">
      <c r="E815" s="151"/>
      <c r="F815" s="151"/>
      <c r="G815" s="151"/>
      <c r="H815" s="151"/>
    </row>
    <row r="816" ht="12.0" customHeight="1">
      <c r="E816" s="151"/>
      <c r="F816" s="151"/>
      <c r="G816" s="151"/>
      <c r="H816" s="151"/>
    </row>
    <row r="817" ht="12.0" customHeight="1">
      <c r="E817" s="151"/>
      <c r="F817" s="151"/>
      <c r="G817" s="151"/>
      <c r="H817" s="151"/>
    </row>
    <row r="818" ht="12.0" customHeight="1">
      <c r="E818" s="151"/>
      <c r="F818" s="151"/>
      <c r="G818" s="151"/>
      <c r="H818" s="151"/>
    </row>
    <row r="819" ht="12.0" customHeight="1">
      <c r="E819" s="151"/>
      <c r="F819" s="151"/>
      <c r="G819" s="151"/>
      <c r="H819" s="151"/>
    </row>
    <row r="820" ht="12.0" customHeight="1">
      <c r="E820" s="151"/>
      <c r="F820" s="151"/>
      <c r="G820" s="151"/>
      <c r="H820" s="151"/>
    </row>
    <row r="821" ht="12.0" customHeight="1">
      <c r="E821" s="151"/>
      <c r="F821" s="151"/>
      <c r="G821" s="151"/>
      <c r="H821" s="151"/>
    </row>
    <row r="822" ht="12.0" customHeight="1">
      <c r="E822" s="151"/>
      <c r="F822" s="151"/>
      <c r="G822" s="151"/>
      <c r="H822" s="151"/>
    </row>
    <row r="823" ht="12.0" customHeight="1">
      <c r="E823" s="151"/>
      <c r="F823" s="151"/>
      <c r="G823" s="151"/>
      <c r="H823" s="151"/>
    </row>
    <row r="824" ht="12.0" customHeight="1">
      <c r="E824" s="151"/>
      <c r="F824" s="151"/>
      <c r="G824" s="151"/>
      <c r="H824" s="151"/>
    </row>
    <row r="825" ht="12.0" customHeight="1">
      <c r="E825" s="151"/>
      <c r="F825" s="151"/>
      <c r="G825" s="151"/>
      <c r="H825" s="151"/>
    </row>
    <row r="826" ht="12.0" customHeight="1">
      <c r="E826" s="151"/>
      <c r="F826" s="151"/>
      <c r="G826" s="151"/>
      <c r="H826" s="151"/>
    </row>
    <row r="827" ht="12.0" customHeight="1">
      <c r="E827" s="151"/>
      <c r="F827" s="151"/>
      <c r="G827" s="151"/>
      <c r="H827" s="151"/>
    </row>
    <row r="828" ht="12.0" customHeight="1">
      <c r="E828" s="151"/>
      <c r="F828" s="151"/>
      <c r="G828" s="151"/>
      <c r="H828" s="151"/>
    </row>
    <row r="829" ht="12.0" customHeight="1">
      <c r="E829" s="151"/>
      <c r="F829" s="151"/>
      <c r="G829" s="151"/>
      <c r="H829" s="151"/>
    </row>
    <row r="830" ht="12.0" customHeight="1">
      <c r="E830" s="151"/>
      <c r="F830" s="151"/>
      <c r="G830" s="151"/>
      <c r="H830" s="151"/>
    </row>
    <row r="831" ht="12.0" customHeight="1">
      <c r="E831" s="151"/>
      <c r="F831" s="151"/>
      <c r="G831" s="151"/>
      <c r="H831" s="151"/>
    </row>
    <row r="832" ht="12.0" customHeight="1">
      <c r="E832" s="151"/>
      <c r="F832" s="151"/>
      <c r="G832" s="151"/>
      <c r="H832" s="151"/>
    </row>
    <row r="833" ht="12.0" customHeight="1">
      <c r="E833" s="151"/>
      <c r="F833" s="151"/>
      <c r="G833" s="151"/>
      <c r="H833" s="151"/>
    </row>
    <row r="834" ht="12.0" customHeight="1">
      <c r="E834" s="151"/>
      <c r="F834" s="151"/>
      <c r="G834" s="151"/>
      <c r="H834" s="151"/>
    </row>
    <row r="835" ht="12.0" customHeight="1">
      <c r="E835" s="151"/>
      <c r="F835" s="151"/>
      <c r="G835" s="151"/>
      <c r="H835" s="151"/>
    </row>
    <row r="836" ht="12.0" customHeight="1">
      <c r="E836" s="151"/>
      <c r="F836" s="151"/>
      <c r="G836" s="151"/>
      <c r="H836" s="151"/>
    </row>
    <row r="837" ht="12.0" customHeight="1">
      <c r="E837" s="151"/>
      <c r="F837" s="151"/>
      <c r="G837" s="151"/>
      <c r="H837" s="151"/>
    </row>
    <row r="838" ht="12.0" customHeight="1">
      <c r="E838" s="151"/>
      <c r="F838" s="151"/>
      <c r="G838" s="151"/>
      <c r="H838" s="151"/>
    </row>
    <row r="839" ht="12.0" customHeight="1">
      <c r="E839" s="151"/>
      <c r="F839" s="151"/>
      <c r="G839" s="151"/>
      <c r="H839" s="151"/>
    </row>
    <row r="840" ht="12.0" customHeight="1">
      <c r="E840" s="151"/>
      <c r="F840" s="151"/>
      <c r="G840" s="151"/>
      <c r="H840" s="151"/>
    </row>
    <row r="841" ht="12.0" customHeight="1">
      <c r="E841" s="151"/>
      <c r="F841" s="151"/>
      <c r="G841" s="151"/>
      <c r="H841" s="151"/>
    </row>
    <row r="842" ht="12.0" customHeight="1">
      <c r="E842" s="151"/>
      <c r="F842" s="151"/>
      <c r="G842" s="151"/>
      <c r="H842" s="151"/>
    </row>
    <row r="843" ht="12.0" customHeight="1">
      <c r="E843" s="151"/>
      <c r="F843" s="151"/>
      <c r="G843" s="151"/>
      <c r="H843" s="151"/>
    </row>
    <row r="844" ht="12.0" customHeight="1">
      <c r="E844" s="151"/>
      <c r="F844" s="151"/>
      <c r="G844" s="151"/>
      <c r="H844" s="151"/>
    </row>
    <row r="845" ht="12.0" customHeight="1">
      <c r="E845" s="151"/>
      <c r="F845" s="151"/>
      <c r="G845" s="151"/>
      <c r="H845" s="151"/>
    </row>
    <row r="846" ht="12.0" customHeight="1">
      <c r="E846" s="151"/>
      <c r="F846" s="151"/>
      <c r="G846" s="151"/>
      <c r="H846" s="151"/>
    </row>
    <row r="847" ht="12.0" customHeight="1">
      <c r="E847" s="151"/>
      <c r="F847" s="151"/>
      <c r="G847" s="151"/>
      <c r="H847" s="151"/>
    </row>
    <row r="848" ht="12.0" customHeight="1">
      <c r="E848" s="151"/>
      <c r="F848" s="151"/>
      <c r="G848" s="151"/>
      <c r="H848" s="151"/>
    </row>
    <row r="849" ht="12.0" customHeight="1">
      <c r="E849" s="151"/>
      <c r="F849" s="151"/>
      <c r="G849" s="151"/>
      <c r="H849" s="151"/>
    </row>
    <row r="850" ht="12.0" customHeight="1">
      <c r="E850" s="151"/>
      <c r="F850" s="151"/>
      <c r="G850" s="151"/>
      <c r="H850" s="151"/>
    </row>
    <row r="851" ht="12.0" customHeight="1">
      <c r="E851" s="151"/>
      <c r="F851" s="151"/>
      <c r="G851" s="151"/>
      <c r="H851" s="151"/>
    </row>
    <row r="852" ht="12.0" customHeight="1">
      <c r="E852" s="151"/>
      <c r="F852" s="151"/>
      <c r="G852" s="151"/>
      <c r="H852" s="151"/>
    </row>
    <row r="853" ht="12.0" customHeight="1">
      <c r="E853" s="151"/>
      <c r="F853" s="151"/>
      <c r="G853" s="151"/>
      <c r="H853" s="151"/>
    </row>
    <row r="854" ht="12.0" customHeight="1">
      <c r="E854" s="151"/>
      <c r="F854" s="151"/>
      <c r="G854" s="151"/>
      <c r="H854" s="151"/>
    </row>
    <row r="855" ht="12.0" customHeight="1">
      <c r="E855" s="151"/>
      <c r="F855" s="151"/>
      <c r="G855" s="151"/>
      <c r="H855" s="151"/>
    </row>
    <row r="856" ht="12.0" customHeight="1">
      <c r="E856" s="151"/>
      <c r="F856" s="151"/>
      <c r="G856" s="151"/>
      <c r="H856" s="151"/>
    </row>
    <row r="857" ht="12.0" customHeight="1">
      <c r="E857" s="151"/>
      <c r="F857" s="151"/>
      <c r="G857" s="151"/>
      <c r="H857" s="151"/>
    </row>
    <row r="858" ht="12.0" customHeight="1">
      <c r="E858" s="151"/>
      <c r="F858" s="151"/>
      <c r="G858" s="151"/>
      <c r="H858" s="151"/>
    </row>
    <row r="859" ht="12.0" customHeight="1">
      <c r="E859" s="151"/>
      <c r="F859" s="151"/>
      <c r="G859" s="151"/>
      <c r="H859" s="151"/>
    </row>
    <row r="860" ht="12.0" customHeight="1">
      <c r="E860" s="151"/>
      <c r="F860" s="151"/>
      <c r="G860" s="151"/>
      <c r="H860" s="151"/>
    </row>
    <row r="861" ht="12.0" customHeight="1">
      <c r="E861" s="151"/>
      <c r="F861" s="151"/>
      <c r="G861" s="151"/>
      <c r="H861" s="151"/>
    </row>
    <row r="862" ht="12.0" customHeight="1">
      <c r="E862" s="151"/>
      <c r="F862" s="151"/>
      <c r="G862" s="151"/>
      <c r="H862" s="151"/>
    </row>
    <row r="863" ht="12.0" customHeight="1">
      <c r="E863" s="151"/>
      <c r="F863" s="151"/>
      <c r="G863" s="151"/>
      <c r="H863" s="151"/>
    </row>
    <row r="864" ht="12.0" customHeight="1">
      <c r="E864" s="151"/>
      <c r="F864" s="151"/>
      <c r="G864" s="151"/>
      <c r="H864" s="151"/>
    </row>
    <row r="865" ht="12.0" customHeight="1">
      <c r="E865" s="151"/>
      <c r="F865" s="151"/>
      <c r="G865" s="151"/>
      <c r="H865" s="151"/>
    </row>
    <row r="866" ht="12.0" customHeight="1">
      <c r="E866" s="151"/>
      <c r="F866" s="151"/>
      <c r="G866" s="151"/>
      <c r="H866" s="151"/>
    </row>
    <row r="867" ht="12.0" customHeight="1">
      <c r="E867" s="151"/>
      <c r="F867" s="151"/>
      <c r="G867" s="151"/>
      <c r="H867" s="151"/>
    </row>
    <row r="868" ht="12.0" customHeight="1">
      <c r="E868" s="151"/>
      <c r="F868" s="151"/>
      <c r="G868" s="151"/>
      <c r="H868" s="151"/>
    </row>
    <row r="869" ht="12.0" customHeight="1">
      <c r="E869" s="151"/>
      <c r="F869" s="151"/>
      <c r="G869" s="151"/>
      <c r="H869" s="151"/>
    </row>
    <row r="870" ht="12.0" customHeight="1">
      <c r="E870" s="151"/>
      <c r="F870" s="151"/>
      <c r="G870" s="151"/>
      <c r="H870" s="151"/>
    </row>
    <row r="871" ht="12.0" customHeight="1">
      <c r="E871" s="151"/>
      <c r="F871" s="151"/>
      <c r="G871" s="151"/>
      <c r="H871" s="151"/>
    </row>
    <row r="872" ht="12.0" customHeight="1">
      <c r="E872" s="151"/>
      <c r="F872" s="151"/>
      <c r="G872" s="151"/>
      <c r="H872" s="151"/>
    </row>
    <row r="873" ht="12.0" customHeight="1">
      <c r="E873" s="151"/>
      <c r="F873" s="151"/>
      <c r="G873" s="151"/>
      <c r="H873" s="151"/>
    </row>
    <row r="874" ht="12.0" customHeight="1">
      <c r="E874" s="151"/>
      <c r="F874" s="151"/>
      <c r="G874" s="151"/>
      <c r="H874" s="151"/>
    </row>
    <row r="875" ht="12.0" customHeight="1">
      <c r="E875" s="151"/>
      <c r="F875" s="151"/>
      <c r="G875" s="151"/>
      <c r="H875" s="151"/>
    </row>
    <row r="876" ht="12.0" customHeight="1">
      <c r="E876" s="151"/>
      <c r="F876" s="151"/>
      <c r="G876" s="151"/>
      <c r="H876" s="151"/>
    </row>
    <row r="877" ht="12.0" customHeight="1">
      <c r="E877" s="151"/>
      <c r="F877" s="151"/>
      <c r="G877" s="151"/>
      <c r="H877" s="151"/>
    </row>
    <row r="878" ht="12.0" customHeight="1">
      <c r="E878" s="151"/>
      <c r="F878" s="151"/>
      <c r="G878" s="151"/>
      <c r="H878" s="151"/>
    </row>
    <row r="879" ht="12.0" customHeight="1">
      <c r="E879" s="151"/>
      <c r="F879" s="151"/>
      <c r="G879" s="151"/>
      <c r="H879" s="151"/>
    </row>
    <row r="880" ht="12.0" customHeight="1">
      <c r="E880" s="151"/>
      <c r="F880" s="151"/>
      <c r="G880" s="151"/>
      <c r="H880" s="151"/>
    </row>
    <row r="881" ht="12.0" customHeight="1">
      <c r="E881" s="151"/>
      <c r="F881" s="151"/>
      <c r="G881" s="151"/>
      <c r="H881" s="151"/>
    </row>
    <row r="882" ht="12.0" customHeight="1">
      <c r="E882" s="151"/>
      <c r="F882" s="151"/>
      <c r="G882" s="151"/>
      <c r="H882" s="151"/>
    </row>
    <row r="883" ht="12.0" customHeight="1">
      <c r="E883" s="151"/>
      <c r="F883" s="151"/>
      <c r="G883" s="151"/>
      <c r="H883" s="151"/>
    </row>
    <row r="884" ht="12.0" customHeight="1">
      <c r="E884" s="151"/>
      <c r="F884" s="151"/>
      <c r="G884" s="151"/>
      <c r="H884" s="151"/>
    </row>
    <row r="885" ht="12.0" customHeight="1">
      <c r="E885" s="151"/>
      <c r="F885" s="151"/>
      <c r="G885" s="151"/>
      <c r="H885" s="151"/>
    </row>
    <row r="886" ht="12.0" customHeight="1">
      <c r="E886" s="151"/>
      <c r="F886" s="151"/>
      <c r="G886" s="151"/>
      <c r="H886" s="151"/>
    </row>
    <row r="887" ht="12.0" customHeight="1">
      <c r="E887" s="151"/>
      <c r="F887" s="151"/>
      <c r="G887" s="151"/>
      <c r="H887" s="151"/>
    </row>
    <row r="888" ht="12.0" customHeight="1">
      <c r="E888" s="151"/>
      <c r="F888" s="151"/>
      <c r="G888" s="151"/>
      <c r="H888" s="151"/>
    </row>
    <row r="889" ht="12.0" customHeight="1">
      <c r="E889" s="151"/>
      <c r="F889" s="151"/>
      <c r="G889" s="151"/>
      <c r="H889" s="151"/>
    </row>
    <row r="890" ht="12.0" customHeight="1">
      <c r="E890" s="151"/>
      <c r="F890" s="151"/>
      <c r="G890" s="151"/>
      <c r="H890" s="151"/>
    </row>
    <row r="891" ht="12.0" customHeight="1">
      <c r="E891" s="151"/>
      <c r="F891" s="151"/>
      <c r="G891" s="151"/>
      <c r="H891" s="151"/>
    </row>
    <row r="892" ht="12.0" customHeight="1">
      <c r="E892" s="151"/>
      <c r="F892" s="151"/>
      <c r="G892" s="151"/>
      <c r="H892" s="151"/>
    </row>
    <row r="893" ht="12.0" customHeight="1">
      <c r="E893" s="151"/>
      <c r="F893" s="151"/>
      <c r="G893" s="151"/>
      <c r="H893" s="151"/>
    </row>
    <row r="894" ht="12.0" customHeight="1">
      <c r="E894" s="151"/>
      <c r="F894" s="151"/>
      <c r="G894" s="151"/>
      <c r="H894" s="151"/>
    </row>
    <row r="895" ht="12.0" customHeight="1">
      <c r="E895" s="151"/>
      <c r="F895" s="151"/>
      <c r="G895" s="151"/>
      <c r="H895" s="151"/>
    </row>
    <row r="896" ht="12.0" customHeight="1">
      <c r="E896" s="151"/>
      <c r="F896" s="151"/>
      <c r="G896" s="151"/>
      <c r="H896" s="151"/>
    </row>
    <row r="897" ht="12.0" customHeight="1">
      <c r="E897" s="151"/>
      <c r="F897" s="151"/>
      <c r="G897" s="151"/>
      <c r="H897" s="151"/>
    </row>
    <row r="898" ht="12.0" customHeight="1">
      <c r="E898" s="151"/>
      <c r="F898" s="151"/>
      <c r="G898" s="151"/>
      <c r="H898" s="151"/>
    </row>
    <row r="899" ht="12.0" customHeight="1">
      <c r="E899" s="151"/>
      <c r="F899" s="151"/>
      <c r="G899" s="151"/>
      <c r="H899" s="151"/>
    </row>
    <row r="900" ht="12.0" customHeight="1">
      <c r="E900" s="151"/>
      <c r="F900" s="151"/>
      <c r="G900" s="151"/>
      <c r="H900" s="151"/>
    </row>
    <row r="901" ht="12.0" customHeight="1">
      <c r="E901" s="151"/>
      <c r="F901" s="151"/>
      <c r="G901" s="151"/>
      <c r="H901" s="151"/>
    </row>
    <row r="902" ht="12.0" customHeight="1">
      <c r="E902" s="151"/>
      <c r="F902" s="151"/>
      <c r="G902" s="151"/>
      <c r="H902" s="151"/>
    </row>
    <row r="903" ht="12.0" customHeight="1">
      <c r="E903" s="151"/>
      <c r="F903" s="151"/>
      <c r="G903" s="151"/>
      <c r="H903" s="151"/>
    </row>
    <row r="904" ht="12.0" customHeight="1">
      <c r="E904" s="151"/>
      <c r="F904" s="151"/>
      <c r="G904" s="151"/>
      <c r="H904" s="151"/>
    </row>
    <row r="905" ht="12.0" customHeight="1">
      <c r="E905" s="151"/>
      <c r="F905" s="151"/>
      <c r="G905" s="151"/>
      <c r="H905" s="151"/>
    </row>
    <row r="906" ht="12.0" customHeight="1">
      <c r="E906" s="151"/>
      <c r="F906" s="151"/>
      <c r="G906" s="151"/>
      <c r="H906" s="151"/>
    </row>
    <row r="907" ht="12.0" customHeight="1">
      <c r="E907" s="151"/>
      <c r="F907" s="151"/>
      <c r="G907" s="151"/>
      <c r="H907" s="151"/>
    </row>
    <row r="908" ht="12.0" customHeight="1">
      <c r="E908" s="151"/>
      <c r="F908" s="151"/>
      <c r="G908" s="151"/>
      <c r="H908" s="151"/>
    </row>
    <row r="909" ht="12.0" customHeight="1">
      <c r="E909" s="151"/>
      <c r="F909" s="151"/>
      <c r="G909" s="151"/>
      <c r="H909" s="151"/>
    </row>
    <row r="910" ht="12.0" customHeight="1">
      <c r="E910" s="151"/>
      <c r="F910" s="151"/>
      <c r="G910" s="151"/>
      <c r="H910" s="151"/>
    </row>
    <row r="911" ht="12.0" customHeight="1">
      <c r="E911" s="151"/>
      <c r="F911" s="151"/>
      <c r="G911" s="151"/>
      <c r="H911" s="151"/>
    </row>
    <row r="912" ht="12.0" customHeight="1">
      <c r="E912" s="151"/>
      <c r="F912" s="151"/>
      <c r="G912" s="151"/>
      <c r="H912" s="151"/>
    </row>
    <row r="913" ht="12.0" customHeight="1">
      <c r="E913" s="151"/>
      <c r="F913" s="151"/>
      <c r="G913" s="151"/>
      <c r="H913" s="151"/>
    </row>
    <row r="914" ht="12.0" customHeight="1">
      <c r="E914" s="151"/>
      <c r="F914" s="151"/>
      <c r="G914" s="151"/>
      <c r="H914" s="151"/>
    </row>
    <row r="915" ht="12.0" customHeight="1">
      <c r="E915" s="151"/>
      <c r="F915" s="151"/>
      <c r="G915" s="151"/>
      <c r="H915" s="151"/>
    </row>
    <row r="916" ht="12.0" customHeight="1">
      <c r="E916" s="151"/>
      <c r="F916" s="151"/>
      <c r="G916" s="151"/>
      <c r="H916" s="151"/>
    </row>
    <row r="917" ht="12.0" customHeight="1">
      <c r="E917" s="151"/>
      <c r="F917" s="151"/>
      <c r="G917" s="151"/>
      <c r="H917" s="151"/>
    </row>
    <row r="918" ht="12.0" customHeight="1">
      <c r="E918" s="151"/>
      <c r="F918" s="151"/>
      <c r="G918" s="151"/>
      <c r="H918" s="151"/>
    </row>
    <row r="919" ht="12.0" customHeight="1">
      <c r="E919" s="151"/>
      <c r="F919" s="151"/>
      <c r="G919" s="151"/>
      <c r="H919" s="151"/>
    </row>
    <row r="920" ht="12.0" customHeight="1">
      <c r="E920" s="151"/>
      <c r="F920" s="151"/>
      <c r="G920" s="151"/>
      <c r="H920" s="151"/>
    </row>
    <row r="921" ht="12.0" customHeight="1">
      <c r="E921" s="151"/>
      <c r="F921" s="151"/>
      <c r="G921" s="151"/>
      <c r="H921" s="151"/>
    </row>
    <row r="922" ht="12.0" customHeight="1">
      <c r="E922" s="151"/>
      <c r="F922" s="151"/>
      <c r="G922" s="151"/>
      <c r="H922" s="151"/>
    </row>
    <row r="923" ht="12.0" customHeight="1">
      <c r="E923" s="151"/>
      <c r="F923" s="151"/>
      <c r="G923" s="151"/>
      <c r="H923" s="151"/>
    </row>
    <row r="924" ht="12.0" customHeight="1">
      <c r="E924" s="151"/>
      <c r="F924" s="151"/>
      <c r="G924" s="151"/>
      <c r="H924" s="151"/>
    </row>
    <row r="925" ht="12.0" customHeight="1">
      <c r="E925" s="151"/>
      <c r="F925" s="151"/>
      <c r="G925" s="151"/>
      <c r="H925" s="151"/>
    </row>
    <row r="926" ht="12.0" customHeight="1">
      <c r="E926" s="151"/>
      <c r="F926" s="151"/>
      <c r="G926" s="151"/>
      <c r="H926" s="151"/>
    </row>
    <row r="927" ht="12.0" customHeight="1">
      <c r="E927" s="151"/>
      <c r="F927" s="151"/>
      <c r="G927" s="151"/>
      <c r="H927" s="151"/>
    </row>
    <row r="928" ht="12.0" customHeight="1">
      <c r="E928" s="151"/>
      <c r="F928" s="151"/>
      <c r="G928" s="151"/>
      <c r="H928" s="151"/>
    </row>
    <row r="929" ht="12.0" customHeight="1">
      <c r="E929" s="151"/>
      <c r="F929" s="151"/>
      <c r="G929" s="151"/>
      <c r="H929" s="151"/>
    </row>
    <row r="930" ht="12.0" customHeight="1">
      <c r="E930" s="151"/>
      <c r="F930" s="151"/>
      <c r="G930" s="151"/>
      <c r="H930" s="151"/>
    </row>
    <row r="931" ht="12.0" customHeight="1">
      <c r="E931" s="151"/>
      <c r="F931" s="151"/>
      <c r="G931" s="151"/>
      <c r="H931" s="151"/>
    </row>
    <row r="932" ht="12.0" customHeight="1">
      <c r="E932" s="151"/>
      <c r="F932" s="151"/>
      <c r="G932" s="151"/>
      <c r="H932" s="151"/>
    </row>
    <row r="933" ht="12.0" customHeight="1">
      <c r="E933" s="151"/>
      <c r="F933" s="151"/>
      <c r="G933" s="151"/>
      <c r="H933" s="151"/>
    </row>
    <row r="934" ht="12.0" customHeight="1">
      <c r="E934" s="151"/>
      <c r="F934" s="151"/>
      <c r="G934" s="151"/>
      <c r="H934" s="151"/>
    </row>
    <row r="935" ht="12.0" customHeight="1">
      <c r="E935" s="151"/>
      <c r="F935" s="151"/>
      <c r="G935" s="151"/>
      <c r="H935" s="151"/>
    </row>
    <row r="936" ht="12.0" customHeight="1">
      <c r="E936" s="151"/>
      <c r="F936" s="151"/>
      <c r="G936" s="151"/>
      <c r="H936" s="151"/>
    </row>
    <row r="937" ht="12.0" customHeight="1">
      <c r="E937" s="151"/>
      <c r="F937" s="151"/>
      <c r="G937" s="151"/>
      <c r="H937" s="151"/>
    </row>
    <row r="938" ht="12.0" customHeight="1">
      <c r="E938" s="151"/>
      <c r="F938" s="151"/>
      <c r="G938" s="151"/>
      <c r="H938" s="151"/>
    </row>
    <row r="939" ht="12.0" customHeight="1">
      <c r="E939" s="151"/>
      <c r="F939" s="151"/>
      <c r="G939" s="151"/>
      <c r="H939" s="151"/>
    </row>
    <row r="940" ht="12.0" customHeight="1">
      <c r="E940" s="151"/>
      <c r="F940" s="151"/>
      <c r="G940" s="151"/>
      <c r="H940" s="151"/>
    </row>
    <row r="941" ht="12.0" customHeight="1">
      <c r="E941" s="151"/>
      <c r="F941" s="151"/>
      <c r="G941" s="151"/>
      <c r="H941" s="151"/>
    </row>
    <row r="942" ht="12.0" customHeight="1">
      <c r="E942" s="151"/>
      <c r="F942" s="151"/>
      <c r="G942" s="151"/>
      <c r="H942" s="151"/>
    </row>
    <row r="943" ht="12.0" customHeight="1">
      <c r="E943" s="151"/>
      <c r="F943" s="151"/>
      <c r="G943" s="151"/>
      <c r="H943" s="151"/>
    </row>
    <row r="944" ht="12.0" customHeight="1">
      <c r="E944" s="151"/>
      <c r="F944" s="151"/>
      <c r="G944" s="151"/>
      <c r="H944" s="151"/>
    </row>
    <row r="945" ht="12.0" customHeight="1">
      <c r="E945" s="151"/>
      <c r="F945" s="151"/>
      <c r="G945" s="151"/>
      <c r="H945" s="151"/>
    </row>
    <row r="946" ht="12.0" customHeight="1">
      <c r="E946" s="151"/>
      <c r="F946" s="151"/>
      <c r="G946" s="151"/>
      <c r="H946" s="151"/>
    </row>
    <row r="947" ht="12.0" customHeight="1">
      <c r="E947" s="151"/>
      <c r="F947" s="151"/>
      <c r="G947" s="151"/>
      <c r="H947" s="151"/>
    </row>
    <row r="948" ht="12.0" customHeight="1">
      <c r="E948" s="151"/>
      <c r="F948" s="151"/>
      <c r="G948" s="151"/>
      <c r="H948" s="151"/>
    </row>
    <row r="949" ht="12.0" customHeight="1">
      <c r="E949" s="151"/>
      <c r="F949" s="151"/>
      <c r="G949" s="151"/>
      <c r="H949" s="151"/>
    </row>
    <row r="950" ht="12.0" customHeight="1">
      <c r="E950" s="151"/>
      <c r="F950" s="151"/>
      <c r="G950" s="151"/>
      <c r="H950" s="151"/>
    </row>
    <row r="951" ht="12.0" customHeight="1">
      <c r="E951" s="151"/>
      <c r="F951" s="151"/>
      <c r="G951" s="151"/>
      <c r="H951" s="151"/>
    </row>
    <row r="952" ht="12.0" customHeight="1">
      <c r="E952" s="151"/>
      <c r="F952" s="151"/>
      <c r="G952" s="151"/>
      <c r="H952" s="151"/>
    </row>
    <row r="953" ht="12.0" customHeight="1">
      <c r="E953" s="151"/>
      <c r="F953" s="151"/>
      <c r="G953" s="151"/>
      <c r="H953" s="151"/>
    </row>
    <row r="954" ht="12.0" customHeight="1">
      <c r="E954" s="151"/>
      <c r="F954" s="151"/>
      <c r="G954" s="151"/>
      <c r="H954" s="151"/>
    </row>
    <row r="955" ht="12.0" customHeight="1">
      <c r="E955" s="151"/>
      <c r="F955" s="151"/>
      <c r="G955" s="151"/>
      <c r="H955" s="151"/>
    </row>
    <row r="956" ht="12.0" customHeight="1">
      <c r="E956" s="151"/>
      <c r="F956" s="151"/>
      <c r="G956" s="151"/>
      <c r="H956" s="151"/>
    </row>
    <row r="957" ht="12.0" customHeight="1">
      <c r="E957" s="151"/>
      <c r="F957" s="151"/>
      <c r="G957" s="151"/>
      <c r="H957" s="151"/>
    </row>
    <row r="958" ht="12.0" customHeight="1">
      <c r="E958" s="151"/>
      <c r="F958" s="151"/>
      <c r="G958" s="151"/>
      <c r="H958" s="151"/>
    </row>
    <row r="959" ht="12.0" customHeight="1">
      <c r="E959" s="151"/>
      <c r="F959" s="151"/>
      <c r="G959" s="151"/>
      <c r="H959" s="151"/>
    </row>
    <row r="960" ht="12.0" customHeight="1">
      <c r="E960" s="151"/>
      <c r="F960" s="151"/>
      <c r="G960" s="151"/>
      <c r="H960" s="151"/>
    </row>
    <row r="961" ht="12.0" customHeight="1">
      <c r="E961" s="151"/>
      <c r="F961" s="151"/>
      <c r="G961" s="151"/>
      <c r="H961" s="151"/>
    </row>
    <row r="962" ht="12.0" customHeight="1">
      <c r="E962" s="151"/>
      <c r="F962" s="151"/>
      <c r="G962" s="151"/>
      <c r="H962" s="151"/>
    </row>
    <row r="963" ht="12.0" customHeight="1">
      <c r="E963" s="151"/>
      <c r="F963" s="151"/>
      <c r="G963" s="151"/>
      <c r="H963" s="151"/>
    </row>
    <row r="964" ht="12.0" customHeight="1">
      <c r="E964" s="151"/>
      <c r="F964" s="151"/>
      <c r="G964" s="151"/>
      <c r="H964" s="151"/>
    </row>
    <row r="965" ht="12.0" customHeight="1">
      <c r="E965" s="151"/>
      <c r="F965" s="151"/>
      <c r="G965" s="151"/>
      <c r="H965" s="151"/>
    </row>
    <row r="966" ht="12.0" customHeight="1">
      <c r="E966" s="151"/>
      <c r="F966" s="151"/>
      <c r="G966" s="151"/>
      <c r="H966" s="151"/>
    </row>
    <row r="967" ht="12.0" customHeight="1">
      <c r="E967" s="151"/>
      <c r="F967" s="151"/>
      <c r="G967" s="151"/>
      <c r="H967" s="151"/>
    </row>
    <row r="968" ht="12.0" customHeight="1">
      <c r="E968" s="151"/>
      <c r="F968" s="151"/>
      <c r="G968" s="151"/>
      <c r="H968" s="151"/>
    </row>
    <row r="969" ht="12.0" customHeight="1">
      <c r="E969" s="151"/>
      <c r="F969" s="151"/>
      <c r="G969" s="151"/>
      <c r="H969" s="151"/>
    </row>
    <row r="970" ht="12.0" customHeight="1">
      <c r="E970" s="151"/>
      <c r="F970" s="151"/>
      <c r="G970" s="151"/>
      <c r="H970" s="151"/>
    </row>
    <row r="971" ht="12.0" customHeight="1">
      <c r="E971" s="151"/>
      <c r="F971" s="151"/>
      <c r="G971" s="151"/>
      <c r="H971" s="151"/>
    </row>
    <row r="972" ht="12.0" customHeight="1">
      <c r="E972" s="151"/>
      <c r="F972" s="151"/>
      <c r="G972" s="151"/>
      <c r="H972" s="151"/>
    </row>
    <row r="973" ht="12.0" customHeight="1">
      <c r="E973" s="151"/>
      <c r="F973" s="151"/>
      <c r="G973" s="151"/>
      <c r="H973" s="151"/>
    </row>
    <row r="974" ht="12.0" customHeight="1">
      <c r="E974" s="151"/>
      <c r="F974" s="151"/>
      <c r="G974" s="151"/>
      <c r="H974" s="151"/>
    </row>
    <row r="975" ht="12.0" customHeight="1">
      <c r="E975" s="151"/>
      <c r="F975" s="151"/>
      <c r="G975" s="151"/>
      <c r="H975" s="151"/>
    </row>
    <row r="976" ht="12.0" customHeight="1">
      <c r="E976" s="151"/>
      <c r="F976" s="151"/>
      <c r="G976" s="151"/>
      <c r="H976" s="151"/>
    </row>
    <row r="977" ht="12.0" customHeight="1">
      <c r="E977" s="151"/>
      <c r="F977" s="151"/>
      <c r="G977" s="151"/>
      <c r="H977" s="151"/>
    </row>
    <row r="978" ht="12.0" customHeight="1">
      <c r="E978" s="151"/>
      <c r="F978" s="151"/>
      <c r="G978" s="151"/>
      <c r="H978" s="151"/>
    </row>
    <row r="979" ht="12.0" customHeight="1">
      <c r="E979" s="151"/>
      <c r="F979" s="151"/>
      <c r="G979" s="151"/>
      <c r="H979" s="151"/>
    </row>
    <row r="980" ht="12.0" customHeight="1">
      <c r="E980" s="151"/>
      <c r="F980" s="151"/>
      <c r="G980" s="151"/>
      <c r="H980" s="151"/>
    </row>
    <row r="981" ht="12.0" customHeight="1">
      <c r="E981" s="151"/>
      <c r="F981" s="151"/>
      <c r="G981" s="151"/>
      <c r="H981" s="151"/>
    </row>
    <row r="982" ht="12.0" customHeight="1">
      <c r="E982" s="151"/>
      <c r="F982" s="151"/>
      <c r="G982" s="151"/>
      <c r="H982" s="151"/>
    </row>
    <row r="983" ht="12.0" customHeight="1">
      <c r="E983" s="151"/>
      <c r="F983" s="151"/>
      <c r="G983" s="151"/>
      <c r="H983" s="151"/>
    </row>
    <row r="984" ht="12.0" customHeight="1">
      <c r="E984" s="151"/>
      <c r="F984" s="151"/>
      <c r="G984" s="151"/>
      <c r="H984" s="151"/>
    </row>
    <row r="985" ht="12.0" customHeight="1">
      <c r="E985" s="151"/>
      <c r="F985" s="151"/>
      <c r="G985" s="151"/>
      <c r="H985" s="151"/>
    </row>
    <row r="986" ht="12.0" customHeight="1">
      <c r="E986" s="151"/>
      <c r="F986" s="151"/>
      <c r="G986" s="151"/>
      <c r="H986" s="151"/>
    </row>
    <row r="987" ht="12.0" customHeight="1">
      <c r="E987" s="151"/>
      <c r="F987" s="151"/>
      <c r="G987" s="151"/>
      <c r="H987" s="151"/>
    </row>
    <row r="988" ht="12.0" customHeight="1">
      <c r="E988" s="151"/>
      <c r="F988" s="151"/>
      <c r="G988" s="151"/>
      <c r="H988" s="151"/>
    </row>
    <row r="989" ht="12.0" customHeight="1">
      <c r="E989" s="151"/>
      <c r="F989" s="151"/>
      <c r="G989" s="151"/>
      <c r="H989" s="151"/>
    </row>
    <row r="990" ht="12.0" customHeight="1">
      <c r="E990" s="151"/>
      <c r="F990" s="151"/>
      <c r="G990" s="151"/>
      <c r="H990" s="151"/>
    </row>
    <row r="991" ht="12.0" customHeight="1">
      <c r="E991" s="151"/>
      <c r="F991" s="151"/>
      <c r="G991" s="151"/>
      <c r="H991" s="151"/>
    </row>
    <row r="992" ht="12.0" customHeight="1">
      <c r="E992" s="151"/>
      <c r="F992" s="151"/>
      <c r="G992" s="151"/>
      <c r="H992" s="151"/>
    </row>
    <row r="993" ht="12.0" customHeight="1">
      <c r="E993" s="151"/>
      <c r="F993" s="151"/>
      <c r="G993" s="151"/>
      <c r="H993" s="151"/>
    </row>
    <row r="994" ht="12.0" customHeight="1">
      <c r="E994" s="151"/>
      <c r="F994" s="151"/>
      <c r="G994" s="151"/>
      <c r="H994" s="151"/>
    </row>
    <row r="995" ht="12.0" customHeight="1">
      <c r="E995" s="151"/>
      <c r="F995" s="151"/>
      <c r="G995" s="151"/>
      <c r="H995" s="151"/>
    </row>
    <row r="996" ht="12.0" customHeight="1">
      <c r="E996" s="151"/>
      <c r="F996" s="151"/>
      <c r="G996" s="151"/>
      <c r="H996" s="151"/>
    </row>
    <row r="997" ht="12.0" customHeight="1">
      <c r="E997" s="151"/>
      <c r="F997" s="151"/>
      <c r="G997" s="151"/>
      <c r="H997" s="151"/>
    </row>
    <row r="998" ht="12.0" customHeight="1">
      <c r="E998" s="151"/>
      <c r="F998" s="151"/>
      <c r="G998" s="151"/>
      <c r="H998" s="151"/>
    </row>
    <row r="999" ht="12.0" customHeight="1">
      <c r="E999" s="151"/>
      <c r="F999" s="151"/>
      <c r="G999" s="151"/>
      <c r="H999" s="151"/>
    </row>
    <row r="1000" ht="12.0" customHeight="1">
      <c r="E1000" s="151"/>
      <c r="F1000" s="151"/>
      <c r="G1000" s="151"/>
      <c r="H1000" s="151"/>
    </row>
  </sheetData>
  <mergeCells count="15">
    <mergeCell ref="A11:D11"/>
    <mergeCell ref="A14:D14"/>
    <mergeCell ref="E15:F24"/>
    <mergeCell ref="A25:F25"/>
    <mergeCell ref="E26:F34"/>
    <mergeCell ref="A39:D39"/>
    <mergeCell ref="A49:C49"/>
    <mergeCell ref="A63:C63"/>
    <mergeCell ref="A1:G1"/>
    <mergeCell ref="A2:G2"/>
    <mergeCell ref="A6:B6"/>
    <mergeCell ref="A7:E7"/>
    <mergeCell ref="A8:E8"/>
    <mergeCell ref="I8:K8"/>
    <mergeCell ref="A10:D10"/>
  </mergeCells>
  <conditionalFormatting sqref="D16">
    <cfRule type="containsText" dxfId="2" priority="1" operator="containsText" text="INACCESSIBLE">
      <formula>NOT(ISERROR(SEARCH(("INACCESSIBLE"),(D16))))</formula>
    </cfRule>
  </conditionalFormatting>
  <conditionalFormatting sqref="D17:D25">
    <cfRule type="containsText" dxfId="2" priority="2" operator="containsText" text="INACCESSIBLE">
      <formula>NOT(ISERROR(SEARCH(("INACCESSIBLE"),(D17))))</formula>
    </cfRule>
  </conditionalFormatting>
  <conditionalFormatting sqref="D27:D34">
    <cfRule type="beginsWith" dxfId="3" priority="3" operator="beginsWith" text="PROTECTED">
      <formula>LEFT((D27),LEN("PROTECTED"))=("PROTECTED")</formula>
    </cfRule>
  </conditionalFormatting>
  <conditionalFormatting sqref="A1:G1">
    <cfRule type="containsText" dxfId="4" priority="4" operator="containsText" text="This">
      <formula>NOT(ISERROR(SEARCH(("This"),(A1))))</formula>
    </cfRule>
  </conditionalFormatting>
  <conditionalFormatting sqref="A1:G1">
    <cfRule type="containsText" dxfId="5" priority="5" operator="containsText" text="ALERT">
      <formula>NOT(ISERROR(SEARCH(("ALERT"),(A1))))</formula>
    </cfRule>
  </conditionalFormatting>
  <dataValidations>
    <dataValidation type="list" allowBlank="1" showErrorMessage="1" sqref="D13">
      <formula1>"8.0,16.0,32.0,64.0"</formula1>
    </dataValidation>
    <dataValidation type="list" allowBlank="1" showErrorMessage="1" sqref="D27:D34">
      <formula1>"PROTECTED,UNPROTECTED"</formula1>
    </dataValidation>
  </dataValidation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29"/>
    <col customWidth="1" min="2" max="2" width="14.29"/>
    <col customWidth="1" min="3" max="3" width="20.29"/>
    <col customWidth="1" min="4" max="4" width="23.86"/>
    <col customWidth="1" min="5" max="5" width="2.29"/>
    <col customWidth="1" min="6" max="6" width="31.57"/>
    <col customWidth="1" min="7" max="7" width="6.14"/>
    <col customWidth="1" min="8" max="8" width="12.57"/>
    <col customWidth="1" min="9" max="9" width="25.57"/>
    <col customWidth="1" min="10" max="26" width="8.71"/>
  </cols>
  <sheetData>
    <row r="1" ht="12.0" customHeight="1">
      <c r="A1" s="377" t="str">
        <f>IF('Register Configuration'!D83=0, "ALERT! It's been detected that a binary-aligned density is in use, therefore you must use ECC_Config_BinaryAligned worksheet!", "This worksheet is for non-binary-aligned densities")</f>
        <v>ALERT! It's been detected that a binary-aligned density is in use, therefore you must use ECC_Config_BinaryAligned worksheet!</v>
      </c>
      <c r="B1" s="21"/>
      <c r="C1" s="21"/>
      <c r="D1" s="21"/>
      <c r="E1" s="21"/>
      <c r="F1" s="21"/>
      <c r="G1" s="22"/>
      <c r="H1" s="151"/>
    </row>
    <row r="2" ht="37.5" customHeight="1">
      <c r="A2" s="463" t="s">
        <v>915</v>
      </c>
      <c r="B2" s="21"/>
      <c r="C2" s="21"/>
      <c r="D2" s="21"/>
      <c r="E2" s="21"/>
      <c r="F2" s="21"/>
      <c r="G2" s="22"/>
      <c r="H2" s="151"/>
    </row>
    <row r="3" ht="12.0" customHeight="1">
      <c r="A3" s="197" t="s">
        <v>849</v>
      </c>
      <c r="B3" s="379"/>
      <c r="C3" s="1"/>
      <c r="D3" s="1"/>
      <c r="E3" s="4"/>
      <c r="F3" s="4"/>
      <c r="G3" s="4"/>
      <c r="H3" s="151"/>
    </row>
    <row r="4" ht="12.0" customHeight="1">
      <c r="A4" s="197" t="s">
        <v>850</v>
      </c>
      <c r="B4" s="379"/>
      <c r="C4" s="1"/>
      <c r="D4" s="1"/>
      <c r="E4" s="4"/>
      <c r="F4" s="4"/>
      <c r="G4" s="4"/>
      <c r="H4" s="151"/>
    </row>
    <row r="5" ht="12.0" customHeight="1">
      <c r="A5" s="380" t="s">
        <v>835</v>
      </c>
      <c r="B5" s="1"/>
      <c r="C5" s="1"/>
      <c r="D5" s="1"/>
      <c r="E5" s="4"/>
      <c r="F5" s="4"/>
      <c r="G5" s="4"/>
      <c r="H5" s="151"/>
    </row>
    <row r="6" ht="12.0" customHeight="1">
      <c r="A6" s="381" t="s">
        <v>916</v>
      </c>
      <c r="B6" s="382"/>
      <c r="C6" s="383"/>
      <c r="D6" s="1"/>
      <c r="E6" s="4"/>
      <c r="F6" s="4"/>
      <c r="G6" s="4"/>
      <c r="H6" s="151"/>
    </row>
    <row r="7" ht="12.0" customHeight="1">
      <c r="A7" s="384" t="s">
        <v>917</v>
      </c>
      <c r="B7" s="21"/>
      <c r="C7" s="21"/>
      <c r="D7" s="21"/>
      <c r="E7" s="22"/>
      <c r="F7" s="4"/>
      <c r="G7" s="4"/>
      <c r="H7" s="151"/>
    </row>
    <row r="8" ht="12.0" customHeight="1">
      <c r="A8" s="384" t="s">
        <v>853</v>
      </c>
      <c r="B8" s="21"/>
      <c r="C8" s="21"/>
      <c r="D8" s="21"/>
      <c r="E8" s="22"/>
      <c r="F8" s="4"/>
      <c r="G8" s="4"/>
      <c r="H8" s="151"/>
      <c r="I8" s="160"/>
    </row>
    <row r="9" ht="12.0" customHeight="1">
      <c r="A9" s="464" t="s">
        <v>918</v>
      </c>
      <c r="B9" s="153"/>
      <c r="C9" s="153"/>
      <c r="D9" s="153"/>
      <c r="E9" s="153"/>
      <c r="F9" s="153"/>
      <c r="G9" s="73"/>
      <c r="H9" s="151"/>
      <c r="I9" s="160"/>
      <c r="J9" s="160"/>
      <c r="K9" s="160"/>
    </row>
    <row r="10" ht="12.0" customHeight="1">
      <c r="A10" s="386" t="s">
        <v>854</v>
      </c>
      <c r="B10" s="153"/>
      <c r="C10" s="153"/>
      <c r="D10" s="387"/>
      <c r="E10" s="388"/>
      <c r="F10" s="388"/>
      <c r="G10" s="389"/>
      <c r="H10" s="151"/>
    </row>
    <row r="11" ht="12.0" customHeight="1">
      <c r="A11" s="390" t="s">
        <v>855</v>
      </c>
      <c r="B11" s="153"/>
      <c r="C11" s="153"/>
      <c r="D11" s="73"/>
      <c r="E11" s="327"/>
      <c r="F11" s="327"/>
      <c r="G11" s="391"/>
      <c r="H11" s="151"/>
    </row>
    <row r="12" ht="12.0" customHeight="1">
      <c r="A12" s="392"/>
      <c r="B12" s="1"/>
      <c r="C12" s="1"/>
      <c r="D12" s="393" t="s">
        <v>856</v>
      </c>
      <c r="E12" s="327"/>
      <c r="F12" s="327"/>
      <c r="G12" s="391"/>
      <c r="H12" s="151"/>
    </row>
    <row r="13" ht="12.0" customHeight="1">
      <c r="A13" s="394"/>
      <c r="B13" s="395"/>
      <c r="C13" s="395"/>
      <c r="D13" s="396">
        <v>8.0</v>
      </c>
      <c r="E13" s="327"/>
      <c r="F13" s="327"/>
      <c r="G13" s="391"/>
      <c r="H13" s="151"/>
    </row>
    <row r="14" ht="14.25" customHeight="1">
      <c r="A14" s="465" t="str">
        <f>IF(B140="ERROR!", "ALERT! ATLEAST ONE REGION MUST BE PROTECTED WHEN ECC ENABLED!", "")</f>
        <v/>
      </c>
      <c r="B14" s="466"/>
      <c r="C14" s="466"/>
      <c r="D14" s="467"/>
      <c r="E14" s="327"/>
      <c r="F14" s="327"/>
      <c r="G14" s="391"/>
      <c r="H14" s="151"/>
    </row>
    <row r="15" ht="57.75" customHeight="1">
      <c r="A15" s="468" t="s">
        <v>919</v>
      </c>
      <c r="B15" s="469" t="s">
        <v>858</v>
      </c>
      <c r="C15" s="469" t="s">
        <v>859</v>
      </c>
      <c r="D15" s="470" t="s">
        <v>860</v>
      </c>
      <c r="E15" s="471" t="s">
        <v>920</v>
      </c>
      <c r="F15" s="472"/>
      <c r="G15" s="473" t="s">
        <v>921</v>
      </c>
      <c r="H15" s="474"/>
      <c r="I15" s="475"/>
    </row>
    <row r="16" ht="14.25" customHeight="1">
      <c r="A16" s="476" t="str">
        <f>"ECC Parity Region 0 Section"</f>
        <v>ECC Parity Region 0 Section</v>
      </c>
      <c r="B16" s="168" t="str">
        <f>"0x" &amp; DEC2HEX((B126),9)</f>
        <v>0x13EAAAAAA</v>
      </c>
      <c r="C16" s="168" t="str">
        <f>C99</f>
        <v>21.3333333333333MB</v>
      </c>
      <c r="D16" s="403" t="str">
        <f>IF(D34="UNPROTECTED","ACCESSIBLE","INACCESSIBLE")</f>
        <v>INACCESSIBLE</v>
      </c>
      <c r="E16" s="37"/>
      <c r="F16" s="34"/>
      <c r="G16" s="37"/>
      <c r="I16" s="477"/>
    </row>
    <row r="17" ht="14.25" customHeight="1">
      <c r="A17" s="478" t="str">
        <f>"ECC Parity Region 1 Section"</f>
        <v>ECC Parity Region 1 Section</v>
      </c>
      <c r="B17" s="133" t="str">
        <f>"0x" &amp; DEC2HEX((B125),9)</f>
        <v>0x13D555555</v>
      </c>
      <c r="C17" s="133" t="str">
        <f>C99</f>
        <v>21.3333333333333MB</v>
      </c>
      <c r="D17" s="405" t="str">
        <f>IF(D33="UNPROTECTED","ACCESSIBLE","INACCESSIBLE")</f>
        <v>INACCESSIBLE</v>
      </c>
      <c r="E17" s="37"/>
      <c r="F17" s="34"/>
      <c r="G17" s="37"/>
      <c r="I17" s="477"/>
    </row>
    <row r="18" ht="14.25" customHeight="1">
      <c r="A18" s="478" t="str">
        <f>"ECC Parity Region 2 Section"</f>
        <v>ECC Parity Region 2 Section</v>
      </c>
      <c r="B18" s="133" t="str">
        <f>"0x" &amp; DEC2HEX((B124),9)</f>
        <v>0x13BFFFFFF</v>
      </c>
      <c r="C18" s="133" t="str">
        <f>C99</f>
        <v>21.3333333333333MB</v>
      </c>
      <c r="D18" s="405" t="str">
        <f>IF(D32="UNPROTECTED","ACCESSIBLE","INACCESSIBLE")</f>
        <v>INACCESSIBLE</v>
      </c>
      <c r="E18" s="37"/>
      <c r="F18" s="34"/>
      <c r="G18" s="37"/>
      <c r="I18" s="477"/>
    </row>
    <row r="19" ht="14.25" customHeight="1">
      <c r="A19" s="478" t="str">
        <f>"ECC Parity Region 3 Section"</f>
        <v>ECC Parity Region 3 Section</v>
      </c>
      <c r="B19" s="133" t="str">
        <f>"0x" &amp; DEC2HEX((B123),9)</f>
        <v>0x13AAAAAAA</v>
      </c>
      <c r="C19" s="133" t="str">
        <f>C99</f>
        <v>21.3333333333333MB</v>
      </c>
      <c r="D19" s="405" t="str">
        <f>IF(D31="UNPROTECTED","ACCESSIBLE","INACCESSIBLE")</f>
        <v>INACCESSIBLE</v>
      </c>
      <c r="E19" s="37"/>
      <c r="F19" s="34"/>
      <c r="G19" s="37"/>
      <c r="I19" s="477"/>
    </row>
    <row r="20" ht="14.25" customHeight="1">
      <c r="A20" s="478" t="str">
        <f>"ECC Parity Region 4 Section"</f>
        <v>ECC Parity Region 4 Section</v>
      </c>
      <c r="B20" s="133" t="str">
        <f>"0x" &amp; DEC2HEX((B122),9)</f>
        <v>0x139555555</v>
      </c>
      <c r="C20" s="133" t="str">
        <f>C99</f>
        <v>21.3333333333333MB</v>
      </c>
      <c r="D20" s="405" t="str">
        <f>IF(D30="UNPROTECTED","ACCESSIBLE","INACCESSIBLE")</f>
        <v>INACCESSIBLE</v>
      </c>
      <c r="E20" s="37"/>
      <c r="F20" s="34"/>
      <c r="G20" s="37"/>
      <c r="I20" s="477"/>
    </row>
    <row r="21" ht="14.25" customHeight="1">
      <c r="A21" s="478" t="str">
        <f>"ECC Parity Region 5 Section"</f>
        <v>ECC Parity Region 5 Section</v>
      </c>
      <c r="B21" s="133" t="str">
        <f>"0x" &amp; DEC2HEX((B121),9)</f>
        <v>0x137FFFFFF</v>
      </c>
      <c r="C21" s="133" t="str">
        <f>C99</f>
        <v>21.3333333333333MB</v>
      </c>
      <c r="D21" s="405" t="str">
        <f>IF(D29="UNPROTECTED","ACCESSIBLE","INACCESSIBLE")</f>
        <v>INACCESSIBLE</v>
      </c>
      <c r="E21" s="37"/>
      <c r="F21" s="34"/>
      <c r="G21" s="37"/>
      <c r="I21" s="477"/>
    </row>
    <row r="22" ht="14.25" customHeight="1">
      <c r="A22" s="478" t="str">
        <f>"ECC Parity Region 6 Section"</f>
        <v>ECC Parity Region 6 Section</v>
      </c>
      <c r="B22" s="133" t="str">
        <f>"0x" &amp; DEC2HEX((B120),9)</f>
        <v>0x136AAAAAA</v>
      </c>
      <c r="C22" s="133" t="str">
        <f>C99</f>
        <v>21.3333333333333MB</v>
      </c>
      <c r="D22" s="405" t="str">
        <f>IF(D28="UNPROTECTED","ACCESSIBLE","INACCESSIBLE")</f>
        <v>INACCESSIBLE</v>
      </c>
      <c r="E22" s="37"/>
      <c r="F22" s="34"/>
      <c r="G22" s="37"/>
      <c r="I22" s="477"/>
    </row>
    <row r="23" ht="14.25" customHeight="1">
      <c r="A23" s="479" t="str">
        <f>IF(D13=8,"","Other Region ECC Parity Region Section")</f>
        <v/>
      </c>
      <c r="B23" s="133" t="str">
        <f>IF(D13=8,"","0x" &amp; DEC2HEX((B119),9))</f>
        <v/>
      </c>
      <c r="C23" s="133" t="str">
        <f>IF(B98=0,"", C98)</f>
        <v/>
      </c>
      <c r="D23" s="405" t="str">
        <f>IF(D13=8,"", IF(D27="UNPROTECTED","ACCESSIBLE","INACCESSIBLE"))</f>
        <v/>
      </c>
      <c r="E23" s="37"/>
      <c r="F23" s="34"/>
      <c r="G23" s="37"/>
      <c r="I23" s="477"/>
    </row>
    <row r="24" ht="15.0" customHeight="1">
      <c r="A24" s="480" t="s">
        <v>862</v>
      </c>
      <c r="B24" s="408" t="str">
        <f>"0x" &amp; DEC2HEX((B118),9)</f>
        <v>0x135555555</v>
      </c>
      <c r="C24" s="408" t="str">
        <f>C97</f>
        <v>21.3333333333333MB</v>
      </c>
      <c r="D24" s="409" t="s">
        <v>863</v>
      </c>
      <c r="E24" s="46"/>
      <c r="F24" s="48"/>
      <c r="G24" s="37"/>
      <c r="I24" s="477"/>
    </row>
    <row r="25" ht="12.0" customHeight="1">
      <c r="A25" s="481" t="s">
        <v>922</v>
      </c>
      <c r="B25" s="153"/>
      <c r="C25" s="153"/>
      <c r="D25" s="153"/>
      <c r="E25" s="153"/>
      <c r="F25" s="73"/>
      <c r="G25" s="37"/>
      <c r="I25" s="477"/>
    </row>
    <row r="26" ht="54.0" customHeight="1">
      <c r="A26" s="482" t="s">
        <v>923</v>
      </c>
      <c r="B26" s="399" t="s">
        <v>866</v>
      </c>
      <c r="C26" s="399" t="s">
        <v>867</v>
      </c>
      <c r="D26" s="483" t="s">
        <v>924</v>
      </c>
      <c r="E26" s="413" t="s">
        <v>925</v>
      </c>
      <c r="F26" s="367"/>
      <c r="G26" s="37"/>
      <c r="I26" s="477"/>
    </row>
    <row r="27" ht="14.25" customHeight="1">
      <c r="A27" s="476" t="str">
        <f>IF(D13=8, "N/A", "Other Region")</f>
        <v>N/A</v>
      </c>
      <c r="B27" s="182" t="str">
        <f>IF(B89=0,"","0x"&amp;DEC2HEX((B94+(7*B88/8)),9))</f>
        <v/>
      </c>
      <c r="C27" s="414" t="str">
        <f>IF(C89="0MB", "", C89)</f>
        <v/>
      </c>
      <c r="D27" s="484" t="str">
        <f t="shared" ref="D27:D34" si="1">D48</f>
        <v>UNPROTECTED</v>
      </c>
      <c r="E27" s="37"/>
      <c r="F27" s="34"/>
      <c r="G27" s="37"/>
      <c r="I27" s="477"/>
    </row>
    <row r="28" ht="14.25" customHeight="1">
      <c r="A28" s="478" t="s">
        <v>871</v>
      </c>
      <c r="B28" s="342" t="str">
        <f>"0x" &amp; DEC2HEX((B94+(6*B88/8)),9)</f>
        <v>0x12AAAAAAA</v>
      </c>
      <c r="C28" s="417" t="str">
        <f>C88</f>
        <v>170.666666666667MB</v>
      </c>
      <c r="D28" s="485" t="str">
        <f t="shared" si="1"/>
        <v>PROTECTED</v>
      </c>
      <c r="E28" s="37"/>
      <c r="F28" s="34"/>
      <c r="G28" s="37"/>
      <c r="I28" s="477"/>
    </row>
    <row r="29" ht="14.25" customHeight="1">
      <c r="A29" s="478" t="s">
        <v>872</v>
      </c>
      <c r="B29" s="342" t="str">
        <f>"0x" &amp; DEC2HEX((B94+(5*B88/8)),9)</f>
        <v>0x11FFFFFFF</v>
      </c>
      <c r="C29" s="417" t="str">
        <f>C88</f>
        <v>170.666666666667MB</v>
      </c>
      <c r="D29" s="485" t="str">
        <f t="shared" si="1"/>
        <v>PROTECTED</v>
      </c>
      <c r="E29" s="37"/>
      <c r="F29" s="34"/>
      <c r="G29" s="37"/>
      <c r="I29" s="477"/>
    </row>
    <row r="30" ht="14.25" customHeight="1">
      <c r="A30" s="478" t="s">
        <v>873</v>
      </c>
      <c r="B30" s="342" t="str">
        <f>"0x" &amp; DEC2HEX((B94+(4*B88/8)),9)</f>
        <v>0x115555555</v>
      </c>
      <c r="C30" s="417" t="str">
        <f>C88</f>
        <v>170.666666666667MB</v>
      </c>
      <c r="D30" s="485" t="str">
        <f t="shared" si="1"/>
        <v>PROTECTED</v>
      </c>
      <c r="E30" s="37"/>
      <c r="F30" s="34"/>
      <c r="G30" s="37"/>
      <c r="I30" s="477"/>
    </row>
    <row r="31" ht="14.25" customHeight="1">
      <c r="A31" s="478" t="s">
        <v>874</v>
      </c>
      <c r="B31" s="342" t="str">
        <f>"0x" &amp; DEC2HEX((B94+(3*B88/8)),9)</f>
        <v>0x10AAAAAAA</v>
      </c>
      <c r="C31" s="417" t="str">
        <f>C88</f>
        <v>170.666666666667MB</v>
      </c>
      <c r="D31" s="485" t="str">
        <f t="shared" si="1"/>
        <v>PROTECTED</v>
      </c>
      <c r="E31" s="37"/>
      <c r="F31" s="34"/>
      <c r="G31" s="37"/>
      <c r="I31" s="477"/>
    </row>
    <row r="32" ht="14.25" customHeight="1">
      <c r="A32" s="478" t="s">
        <v>875</v>
      </c>
      <c r="B32" s="342" t="str">
        <f>"0x" &amp; DEC2HEX((B94+(2*B88/8)),9)</f>
        <v>0x0FFFFFFFF</v>
      </c>
      <c r="C32" s="417" t="str">
        <f>C88</f>
        <v>170.666666666667MB</v>
      </c>
      <c r="D32" s="485" t="str">
        <f t="shared" si="1"/>
        <v>PROTECTED</v>
      </c>
      <c r="E32" s="37"/>
      <c r="F32" s="34"/>
      <c r="G32" s="37"/>
      <c r="I32" s="477"/>
    </row>
    <row r="33" ht="14.25" customHeight="1">
      <c r="A33" s="478" t="s">
        <v>876</v>
      </c>
      <c r="B33" s="342" t="str">
        <f>"0x" &amp; DEC2HEX((B94+(1*B88/8)),9)</f>
        <v>0x0F5555555</v>
      </c>
      <c r="C33" s="417" t="str">
        <f>C88</f>
        <v>170.666666666667MB</v>
      </c>
      <c r="D33" s="485" t="str">
        <f t="shared" si="1"/>
        <v>PROTECTED</v>
      </c>
      <c r="E33" s="37"/>
      <c r="F33" s="34"/>
      <c r="G33" s="37"/>
      <c r="I33" s="477"/>
    </row>
    <row r="34" ht="15.0" customHeight="1">
      <c r="A34" s="486" t="s">
        <v>877</v>
      </c>
      <c r="B34" s="487" t="str">
        <f>"0x"&amp;DEC2HEX(B94, 9)</f>
        <v>0x0EAAAAAAA</v>
      </c>
      <c r="C34" s="488" t="str">
        <f>C88</f>
        <v>170.666666666667MB</v>
      </c>
      <c r="D34" s="489" t="str">
        <f t="shared" si="1"/>
        <v>PROTECTED</v>
      </c>
      <c r="E34" s="490"/>
      <c r="F34" s="491"/>
      <c r="G34" s="490"/>
      <c r="H34" s="492"/>
      <c r="I34" s="493"/>
    </row>
    <row r="35" ht="14.25" customHeight="1">
      <c r="A35" s="494" t="str">
        <f>IF(B161="ERROR!", "ALERT! ATLEAST ONE REGION MUST BE PROTECTED WHEN ECC ENABLED!", "")</f>
        <v/>
      </c>
      <c r="B35" s="21"/>
      <c r="C35" s="21"/>
      <c r="D35" s="22"/>
      <c r="E35" s="327"/>
      <c r="F35" s="327"/>
      <c r="G35" s="391"/>
      <c r="H35" s="151"/>
    </row>
    <row r="36" ht="57.75" customHeight="1">
      <c r="A36" s="468" t="s">
        <v>926</v>
      </c>
      <c r="B36" s="469" t="s">
        <v>858</v>
      </c>
      <c r="C36" s="469" t="s">
        <v>859</v>
      </c>
      <c r="D36" s="470" t="s">
        <v>860</v>
      </c>
      <c r="E36" s="471" t="s">
        <v>927</v>
      </c>
      <c r="F36" s="472"/>
      <c r="G36" s="473" t="s">
        <v>928</v>
      </c>
      <c r="H36" s="474"/>
      <c r="I36" s="475"/>
    </row>
    <row r="37" ht="14.25" customHeight="1">
      <c r="A37" s="476" t="str">
        <f>"ECC Parity Region 0 Section"</f>
        <v>ECC Parity Region 0 Section</v>
      </c>
      <c r="B37" s="168" t="str">
        <f>"0x" &amp; DEC2HEX((B117),9)</f>
        <v>0x0E9555555</v>
      </c>
      <c r="C37" s="168" t="str">
        <f t="shared" ref="C37:C45" si="2">C58</f>
        <v>21.3333333333333MB</v>
      </c>
      <c r="D37" s="403" t="str">
        <f>IF(D55="UNPROTECTED","ACCESSIBLE","INACCESSIBLE")</f>
        <v>INACCESSIBLE</v>
      </c>
      <c r="E37" s="37"/>
      <c r="F37" s="34"/>
      <c r="G37" s="37"/>
      <c r="I37" s="477"/>
    </row>
    <row r="38" ht="14.25" customHeight="1">
      <c r="A38" s="478" t="str">
        <f>"ECC Parity Region 1 Section"</f>
        <v>ECC Parity Region 1 Section</v>
      </c>
      <c r="B38" s="133" t="str">
        <f>"0x" &amp; DEC2HEX((B116),9)</f>
        <v>0x0E8000000</v>
      </c>
      <c r="C38" s="133" t="str">
        <f t="shared" si="2"/>
        <v>21.3333333333333MB</v>
      </c>
      <c r="D38" s="405" t="str">
        <f>IF(D54="UNPROTECTED","ACCESSIBLE","INACCESSIBLE")</f>
        <v>INACCESSIBLE</v>
      </c>
      <c r="E38" s="37"/>
      <c r="F38" s="34"/>
      <c r="G38" s="37"/>
      <c r="I38" s="477"/>
    </row>
    <row r="39" ht="14.25" customHeight="1">
      <c r="A39" s="478" t="str">
        <f>"ECC Parity Region 2 Section"</f>
        <v>ECC Parity Region 2 Section</v>
      </c>
      <c r="B39" s="133" t="str">
        <f>"0x" &amp; DEC2HEX((B115),9)</f>
        <v>0x0E6AAAAAA</v>
      </c>
      <c r="C39" s="133" t="str">
        <f t="shared" si="2"/>
        <v>21.3333333333333MB</v>
      </c>
      <c r="D39" s="405" t="str">
        <f>IF(D53="UNPROTECTED","ACCESSIBLE","INACCESSIBLE")</f>
        <v>INACCESSIBLE</v>
      </c>
      <c r="E39" s="37"/>
      <c r="F39" s="34"/>
      <c r="G39" s="37"/>
      <c r="I39" s="477"/>
    </row>
    <row r="40" ht="14.25" customHeight="1">
      <c r="A40" s="478" t="str">
        <f>"ECC Parity Region 3 Section"</f>
        <v>ECC Parity Region 3 Section</v>
      </c>
      <c r="B40" s="133" t="str">
        <f>"0x" &amp; DEC2HEX((B114),9)</f>
        <v>0x0E5555555</v>
      </c>
      <c r="C40" s="133" t="str">
        <f t="shared" si="2"/>
        <v>21.3333333333333MB</v>
      </c>
      <c r="D40" s="405" t="str">
        <f>IF(D52="UNPROTECTED","ACCESSIBLE","INACCESSIBLE")</f>
        <v>INACCESSIBLE</v>
      </c>
      <c r="E40" s="37"/>
      <c r="F40" s="34"/>
      <c r="G40" s="37"/>
      <c r="I40" s="477"/>
    </row>
    <row r="41" ht="14.25" customHeight="1">
      <c r="A41" s="478" t="str">
        <f>"ECC Parity Region 4 Section"</f>
        <v>ECC Parity Region 4 Section</v>
      </c>
      <c r="B41" s="133" t="str">
        <f>"0x" &amp; DEC2HEX((B113),9)</f>
        <v>0x0E4000000</v>
      </c>
      <c r="C41" s="133" t="str">
        <f t="shared" si="2"/>
        <v>21.3333333333333MB</v>
      </c>
      <c r="D41" s="405" t="str">
        <f>IF(D51="UNPROTECTED","ACCESSIBLE","INACCESSIBLE")</f>
        <v>INACCESSIBLE</v>
      </c>
      <c r="E41" s="37"/>
      <c r="F41" s="34"/>
      <c r="G41" s="37"/>
      <c r="I41" s="477"/>
    </row>
    <row r="42" ht="14.25" customHeight="1">
      <c r="A42" s="478" t="str">
        <f>"ECC Parity Region 5 Section"</f>
        <v>ECC Parity Region 5 Section</v>
      </c>
      <c r="B42" s="133" t="str">
        <f>"0x" &amp; DEC2HEX((B112),9)</f>
        <v>0x0E2AAAAAA</v>
      </c>
      <c r="C42" s="133" t="str">
        <f t="shared" si="2"/>
        <v>21.3333333333333MB</v>
      </c>
      <c r="D42" s="405" t="str">
        <f>IF(D50="UNPROTECTED","ACCESSIBLE","INACCESSIBLE")</f>
        <v>INACCESSIBLE</v>
      </c>
      <c r="E42" s="37"/>
      <c r="F42" s="34"/>
      <c r="G42" s="37"/>
      <c r="I42" s="477"/>
    </row>
    <row r="43" ht="14.25" customHeight="1">
      <c r="A43" s="478" t="str">
        <f>"ECC Parity Region 6 Section"</f>
        <v>ECC Parity Region 6 Section</v>
      </c>
      <c r="B43" s="133" t="str">
        <f>"0x" &amp; DEC2HEX((B111),9)</f>
        <v>0x0E1555555</v>
      </c>
      <c r="C43" s="133" t="str">
        <f t="shared" si="2"/>
        <v>21.3333333333333MB</v>
      </c>
      <c r="D43" s="405" t="str">
        <f>IF(D49="UNPROTECTED","ACCESSIBLE","INACCESSIBLE")</f>
        <v>INACCESSIBLE</v>
      </c>
      <c r="E43" s="37"/>
      <c r="F43" s="34"/>
      <c r="G43" s="37"/>
      <c r="I43" s="477"/>
    </row>
    <row r="44" ht="14.25" customHeight="1">
      <c r="A44" s="479" t="str">
        <f>IF(D34=8,"","Other Region ECC Parity Region Section")</f>
        <v>Other Region ECC Parity Region Section</v>
      </c>
      <c r="B44" s="133" t="str">
        <f>IF(D13=8,"","0x" &amp; DEC2HEX((B110),9))</f>
        <v/>
      </c>
      <c r="C44" s="133" t="str">
        <f t="shared" si="2"/>
        <v/>
      </c>
      <c r="D44" s="405" t="str">
        <f>IF(D34=8,"", IF(D48="UNPROTECTED","ACCESSIBLE","INACCESSIBLE"))</f>
        <v>ACCESSIBLE</v>
      </c>
      <c r="E44" s="37"/>
      <c r="F44" s="34"/>
      <c r="G44" s="37"/>
      <c r="I44" s="477"/>
    </row>
    <row r="45" ht="15.0" customHeight="1">
      <c r="A45" s="480" t="s">
        <v>862</v>
      </c>
      <c r="B45" s="408" t="str">
        <f>"0x" &amp; DEC2HEX((B109),9)</f>
        <v>0x0DFFFFFFF</v>
      </c>
      <c r="C45" s="408" t="str">
        <f t="shared" si="2"/>
        <v>21.3333333333333MB</v>
      </c>
      <c r="D45" s="409" t="s">
        <v>863</v>
      </c>
      <c r="E45" s="46"/>
      <c r="F45" s="48"/>
      <c r="G45" s="37"/>
      <c r="I45" s="477"/>
    </row>
    <row r="46" ht="12.0" customHeight="1">
      <c r="A46" s="481" t="s">
        <v>929</v>
      </c>
      <c r="B46" s="153"/>
      <c r="C46" s="153"/>
      <c r="D46" s="153"/>
      <c r="E46" s="153"/>
      <c r="F46" s="73"/>
      <c r="G46" s="37"/>
      <c r="I46" s="477"/>
    </row>
    <row r="47" ht="54.0" customHeight="1">
      <c r="A47" s="482" t="s">
        <v>930</v>
      </c>
      <c r="B47" s="399" t="s">
        <v>866</v>
      </c>
      <c r="C47" s="399" t="s">
        <v>867</v>
      </c>
      <c r="D47" s="483" t="s">
        <v>924</v>
      </c>
      <c r="E47" s="413" t="s">
        <v>931</v>
      </c>
      <c r="F47" s="367"/>
      <c r="G47" s="37"/>
      <c r="I47" s="477"/>
    </row>
    <row r="48" ht="14.25" customHeight="1">
      <c r="A48" s="476" t="str">
        <f>IF(D34=8, "N/A", "Other Region")</f>
        <v>Other Region</v>
      </c>
      <c r="B48" s="182" t="str">
        <f>IF(B89=0,"","0x"&amp;DEC2HEX((B93+(7*B88/8)),9))</f>
        <v/>
      </c>
      <c r="C48" s="414" t="str">
        <f>IF(C89="0MB", "", C89)</f>
        <v/>
      </c>
      <c r="D48" s="484" t="str">
        <f t="shared" ref="D48:D55" si="3">D69</f>
        <v>UNPROTECTED</v>
      </c>
      <c r="E48" s="37"/>
      <c r="F48" s="34"/>
      <c r="G48" s="37"/>
      <c r="I48" s="477"/>
    </row>
    <row r="49" ht="14.25" customHeight="1">
      <c r="A49" s="478" t="s">
        <v>871</v>
      </c>
      <c r="B49" s="342" t="str">
        <f>"0x" &amp; DEC2HEX((B93+(6*B88/8)),9)</f>
        <v>0x0D5555555</v>
      </c>
      <c r="C49" s="417" t="str">
        <f>C88</f>
        <v>170.666666666667MB</v>
      </c>
      <c r="D49" s="485" t="str">
        <f t="shared" si="3"/>
        <v>PROTECTED</v>
      </c>
      <c r="E49" s="37"/>
      <c r="F49" s="34"/>
      <c r="G49" s="37"/>
      <c r="I49" s="477"/>
    </row>
    <row r="50" ht="14.25" customHeight="1">
      <c r="A50" s="478" t="s">
        <v>872</v>
      </c>
      <c r="B50" s="342" t="str">
        <f>"0x" &amp; DEC2HEX((B93+(5*B88/8)),9)</f>
        <v>0x0CAAAAAAA</v>
      </c>
      <c r="C50" s="417" t="str">
        <f>C88</f>
        <v>170.666666666667MB</v>
      </c>
      <c r="D50" s="485" t="str">
        <f t="shared" si="3"/>
        <v>PROTECTED</v>
      </c>
      <c r="E50" s="37"/>
      <c r="F50" s="34"/>
      <c r="G50" s="37"/>
      <c r="I50" s="477"/>
    </row>
    <row r="51" ht="14.25" customHeight="1">
      <c r="A51" s="478" t="s">
        <v>873</v>
      </c>
      <c r="B51" s="342" t="str">
        <f>"0x" &amp; DEC2HEX((B93+(4*B88/8)),9)</f>
        <v>0x0BFFFFFFF</v>
      </c>
      <c r="C51" s="417" t="str">
        <f>C88</f>
        <v>170.666666666667MB</v>
      </c>
      <c r="D51" s="485" t="str">
        <f t="shared" si="3"/>
        <v>PROTECTED</v>
      </c>
      <c r="E51" s="37"/>
      <c r="F51" s="34"/>
      <c r="G51" s="37"/>
      <c r="I51" s="477"/>
    </row>
    <row r="52" ht="14.25" customHeight="1">
      <c r="A52" s="478" t="s">
        <v>874</v>
      </c>
      <c r="B52" s="342" t="str">
        <f>"0x" &amp; DEC2HEX((B93+(3*B88/8)),9)</f>
        <v>0x0B5555555</v>
      </c>
      <c r="C52" s="417" t="str">
        <f>C88</f>
        <v>170.666666666667MB</v>
      </c>
      <c r="D52" s="485" t="str">
        <f t="shared" si="3"/>
        <v>PROTECTED</v>
      </c>
      <c r="E52" s="37"/>
      <c r="F52" s="34"/>
      <c r="G52" s="37"/>
      <c r="I52" s="477"/>
    </row>
    <row r="53" ht="14.25" customHeight="1">
      <c r="A53" s="478" t="s">
        <v>875</v>
      </c>
      <c r="B53" s="342" t="str">
        <f>"0x" &amp; DEC2HEX((B93+(2*B88/8)),9)</f>
        <v>0x0AAAAAAAA</v>
      </c>
      <c r="C53" s="417" t="str">
        <f>C88</f>
        <v>170.666666666667MB</v>
      </c>
      <c r="D53" s="485" t="str">
        <f t="shared" si="3"/>
        <v>PROTECTED</v>
      </c>
      <c r="E53" s="37"/>
      <c r="F53" s="34"/>
      <c r="G53" s="37"/>
      <c r="I53" s="477"/>
    </row>
    <row r="54" ht="14.25" customHeight="1">
      <c r="A54" s="478" t="s">
        <v>876</v>
      </c>
      <c r="B54" s="342" t="str">
        <f>"0x" &amp; DEC2HEX((B93+(1*B88/8)),9)</f>
        <v>0x09FFFFFFF</v>
      </c>
      <c r="C54" s="417" t="str">
        <f>C88</f>
        <v>170.666666666667MB</v>
      </c>
      <c r="D54" s="485" t="str">
        <f t="shared" si="3"/>
        <v>PROTECTED</v>
      </c>
      <c r="E54" s="37"/>
      <c r="F54" s="34"/>
      <c r="G54" s="37"/>
      <c r="I54" s="477"/>
    </row>
    <row r="55" ht="15.0" customHeight="1">
      <c r="A55" s="486" t="s">
        <v>877</v>
      </c>
      <c r="B55" s="487" t="str">
        <f>"0x"&amp;DEC2HEX(B93, 9)</f>
        <v>0x095555555</v>
      </c>
      <c r="C55" s="488" t="str">
        <f>C88</f>
        <v>170.666666666667MB</v>
      </c>
      <c r="D55" s="489" t="str">
        <f t="shared" si="3"/>
        <v>PROTECTED</v>
      </c>
      <c r="E55" s="490"/>
      <c r="F55" s="491"/>
      <c r="G55" s="490"/>
      <c r="H55" s="492"/>
      <c r="I55" s="493"/>
    </row>
    <row r="56" ht="14.25" customHeight="1">
      <c r="A56" s="495" t="str">
        <f>IF(B182="ERROR!", "ALERT! ATLEAST ONE REGION MUST BE PROTECTED WHEN ECC ENABLED!", "")</f>
        <v/>
      </c>
      <c r="B56" s="496"/>
      <c r="C56" s="496"/>
      <c r="D56" s="496"/>
      <c r="E56" s="327"/>
      <c r="F56" s="327"/>
      <c r="G56" s="391"/>
      <c r="H56" s="151"/>
    </row>
    <row r="57" ht="57.75" customHeight="1">
      <c r="A57" s="497" t="s">
        <v>932</v>
      </c>
      <c r="B57" s="498" t="s">
        <v>858</v>
      </c>
      <c r="C57" s="498" t="s">
        <v>859</v>
      </c>
      <c r="D57" s="499" t="s">
        <v>860</v>
      </c>
      <c r="E57" s="500" t="s">
        <v>933</v>
      </c>
      <c r="F57" s="501"/>
      <c r="G57" s="502" t="s">
        <v>934</v>
      </c>
      <c r="H57" s="503"/>
      <c r="I57" s="504"/>
    </row>
    <row r="58" ht="14.25" customHeight="1">
      <c r="A58" s="505" t="str">
        <f>"ECC Parity Region 0 Section"</f>
        <v>ECC Parity Region 0 Section</v>
      </c>
      <c r="B58" s="168" t="str">
        <f>"0x" &amp; DEC2HEX((B108),9)</f>
        <v>0x094000000</v>
      </c>
      <c r="C58" s="168" t="str">
        <f>C99</f>
        <v>21.3333333333333MB</v>
      </c>
      <c r="D58" s="403" t="str">
        <f>IF(D76="UNPROTECTED","ACCESSIBLE","INACCESSIBLE")</f>
        <v>INACCESSIBLE</v>
      </c>
      <c r="E58" s="37"/>
      <c r="F58" s="34"/>
      <c r="G58" s="37"/>
      <c r="I58" s="506"/>
    </row>
    <row r="59" ht="14.25" customHeight="1">
      <c r="A59" s="507" t="str">
        <f>"ECC Parity Region 1 Section"</f>
        <v>ECC Parity Region 1 Section</v>
      </c>
      <c r="B59" s="133" t="str">
        <f>"0x" &amp; DEC2HEX((B107),9)</f>
        <v>0x092AAAAAA</v>
      </c>
      <c r="C59" s="133" t="str">
        <f>C99</f>
        <v>21.3333333333333MB</v>
      </c>
      <c r="D59" s="405" t="str">
        <f>IF(D75="UNPROTECTED","ACCESSIBLE","INACCESSIBLE")</f>
        <v>INACCESSIBLE</v>
      </c>
      <c r="E59" s="37"/>
      <c r="F59" s="34"/>
      <c r="G59" s="37"/>
      <c r="I59" s="506"/>
    </row>
    <row r="60" ht="14.25" customHeight="1">
      <c r="A60" s="507" t="str">
        <f>"ECC Parity Region 2 Section"</f>
        <v>ECC Parity Region 2 Section</v>
      </c>
      <c r="B60" s="133" t="str">
        <f>"0x" &amp; DEC2HEX((B106),9)</f>
        <v>0x091555555</v>
      </c>
      <c r="C60" s="133" t="str">
        <f>C99</f>
        <v>21.3333333333333MB</v>
      </c>
      <c r="D60" s="405" t="str">
        <f>IF(D74="UNPROTECTED","ACCESSIBLE","INACCESSIBLE")</f>
        <v>INACCESSIBLE</v>
      </c>
      <c r="E60" s="37"/>
      <c r="F60" s="34"/>
      <c r="G60" s="37"/>
      <c r="I60" s="506"/>
    </row>
    <row r="61" ht="14.25" customHeight="1">
      <c r="A61" s="507" t="str">
        <f>"ECC Parity Region 3 Section"</f>
        <v>ECC Parity Region 3 Section</v>
      </c>
      <c r="B61" s="133" t="str">
        <f>"0x" &amp; DEC2HEX((B105),9)</f>
        <v>0x090000000</v>
      </c>
      <c r="C61" s="133" t="str">
        <f>C99</f>
        <v>21.3333333333333MB</v>
      </c>
      <c r="D61" s="405" t="str">
        <f>IF(D73="UNPROTECTED","ACCESSIBLE","INACCESSIBLE")</f>
        <v>INACCESSIBLE</v>
      </c>
      <c r="E61" s="37"/>
      <c r="F61" s="34"/>
      <c r="G61" s="37"/>
      <c r="I61" s="506"/>
    </row>
    <row r="62" ht="14.25" customHeight="1">
      <c r="A62" s="507" t="str">
        <f>"ECC Parity Region 4 Section"</f>
        <v>ECC Parity Region 4 Section</v>
      </c>
      <c r="B62" s="133" t="str">
        <f>"0x" &amp; DEC2HEX((B104),9)</f>
        <v>0x08EAAAAAA</v>
      </c>
      <c r="C62" s="133" t="str">
        <f>C99</f>
        <v>21.3333333333333MB</v>
      </c>
      <c r="D62" s="405" t="str">
        <f>IF(D72="UNPROTECTED","ACCESSIBLE","INACCESSIBLE")</f>
        <v>INACCESSIBLE</v>
      </c>
      <c r="E62" s="37"/>
      <c r="F62" s="34"/>
      <c r="G62" s="37"/>
      <c r="I62" s="506"/>
    </row>
    <row r="63" ht="14.25" customHeight="1">
      <c r="A63" s="507" t="str">
        <f>"ECC Parity Region 5 Section"</f>
        <v>ECC Parity Region 5 Section</v>
      </c>
      <c r="B63" s="133" t="str">
        <f>"0x" &amp; DEC2HEX((B103),9)</f>
        <v>0x08D555555</v>
      </c>
      <c r="C63" s="133" t="str">
        <f>C99</f>
        <v>21.3333333333333MB</v>
      </c>
      <c r="D63" s="405" t="str">
        <f>IF(D71="UNPROTECTED","ACCESSIBLE","INACCESSIBLE")</f>
        <v>INACCESSIBLE</v>
      </c>
      <c r="E63" s="37"/>
      <c r="F63" s="34"/>
      <c r="G63" s="37"/>
      <c r="I63" s="506"/>
    </row>
    <row r="64" ht="14.25" customHeight="1">
      <c r="A64" s="507" t="str">
        <f>"ECC Parity Region 6 Section"</f>
        <v>ECC Parity Region 6 Section</v>
      </c>
      <c r="B64" s="133" t="str">
        <f>"0x" &amp; DEC2HEX((B102),9)</f>
        <v>0x08C000000</v>
      </c>
      <c r="C64" s="133" t="str">
        <f>C99</f>
        <v>21.3333333333333MB</v>
      </c>
      <c r="D64" s="405" t="str">
        <f>IF(D70="UNPROTECTED","ACCESSIBLE","INACCESSIBLE")</f>
        <v>INACCESSIBLE</v>
      </c>
      <c r="E64" s="37"/>
      <c r="F64" s="34"/>
      <c r="G64" s="37"/>
      <c r="I64" s="506"/>
    </row>
    <row r="65" ht="14.25" customHeight="1">
      <c r="A65" s="508" t="str">
        <f>IF(D55=8,"","Other Region ECC Parity Region Section")</f>
        <v>Other Region ECC Parity Region Section</v>
      </c>
      <c r="B65" s="133" t="str">
        <f>IF(D13=8,"","0x" &amp; DEC2HEX((B101),9))</f>
        <v/>
      </c>
      <c r="C65" s="133" t="str">
        <f>IF(B98=0,"", C98)</f>
        <v/>
      </c>
      <c r="D65" s="405" t="str">
        <f>IF(D55=8,"", IF(D69="UNPROTECTED","ACCESSIBLE","INACCESSIBLE"))</f>
        <v>ACCESSIBLE</v>
      </c>
      <c r="E65" s="37"/>
      <c r="F65" s="34"/>
      <c r="G65" s="37"/>
      <c r="I65" s="506"/>
    </row>
    <row r="66" ht="15.0" customHeight="1">
      <c r="A66" s="509" t="s">
        <v>862</v>
      </c>
      <c r="B66" s="408" t="str">
        <f>"0x" &amp; DEC2HEX((B100),9)</f>
        <v>0x08AAAAAAA</v>
      </c>
      <c r="C66" s="408" t="str">
        <f>C97</f>
        <v>21.3333333333333MB</v>
      </c>
      <c r="D66" s="409" t="s">
        <v>863</v>
      </c>
      <c r="E66" s="46"/>
      <c r="F66" s="48"/>
      <c r="G66" s="37"/>
      <c r="I66" s="506"/>
    </row>
    <row r="67" ht="12.0" customHeight="1">
      <c r="A67" s="510" t="s">
        <v>935</v>
      </c>
      <c r="B67" s="153"/>
      <c r="C67" s="153"/>
      <c r="D67" s="153"/>
      <c r="E67" s="153"/>
      <c r="F67" s="73"/>
      <c r="G67" s="37"/>
      <c r="I67" s="506"/>
    </row>
    <row r="68" ht="54.0" customHeight="1">
      <c r="A68" s="511" t="s">
        <v>936</v>
      </c>
      <c r="B68" s="399" t="s">
        <v>866</v>
      </c>
      <c r="C68" s="399" t="s">
        <v>867</v>
      </c>
      <c r="D68" s="412" t="s">
        <v>868</v>
      </c>
      <c r="E68" s="413" t="s">
        <v>937</v>
      </c>
      <c r="F68" s="367"/>
      <c r="G68" s="37"/>
      <c r="I68" s="506"/>
    </row>
    <row r="69" ht="14.25" customHeight="1">
      <c r="A69" s="505" t="str">
        <f>IF(D13=8, "N/A", "Other Region")</f>
        <v>N/A</v>
      </c>
      <c r="B69" s="182" t="str">
        <f>IF(B89=0,"","0x"&amp;DEC2HEX((B92+(7*B88/8)),9))</f>
        <v/>
      </c>
      <c r="C69" s="414" t="str">
        <f>IF(C89="0MB", "", C89)</f>
        <v/>
      </c>
      <c r="D69" s="415" t="s">
        <v>938</v>
      </c>
      <c r="E69" s="37"/>
      <c r="F69" s="34"/>
      <c r="G69" s="37"/>
      <c r="I69" s="506"/>
    </row>
    <row r="70" ht="14.25" customHeight="1">
      <c r="A70" s="507" t="s">
        <v>871</v>
      </c>
      <c r="B70" s="342" t="str">
        <f>"0x" &amp; DEC2HEX((B92+(6*B88/8)),9)</f>
        <v>0x080000000</v>
      </c>
      <c r="C70" s="417" t="str">
        <f>C88</f>
        <v>170.666666666667MB</v>
      </c>
      <c r="D70" s="418" t="s">
        <v>870</v>
      </c>
      <c r="E70" s="37"/>
      <c r="F70" s="34"/>
      <c r="G70" s="37"/>
      <c r="I70" s="506"/>
    </row>
    <row r="71" ht="14.25" customHeight="1">
      <c r="A71" s="507" t="s">
        <v>872</v>
      </c>
      <c r="B71" s="342" t="str">
        <f>"0x" &amp; DEC2HEX((B92+(5*B88/8)),9)</f>
        <v>0x075555555</v>
      </c>
      <c r="C71" s="417" t="str">
        <f>C88</f>
        <v>170.666666666667MB</v>
      </c>
      <c r="D71" s="418" t="s">
        <v>870</v>
      </c>
      <c r="E71" s="37"/>
      <c r="F71" s="34"/>
      <c r="G71" s="37"/>
      <c r="I71" s="506"/>
    </row>
    <row r="72" ht="14.25" customHeight="1">
      <c r="A72" s="507" t="s">
        <v>873</v>
      </c>
      <c r="B72" s="342" t="str">
        <f>"0x" &amp; DEC2HEX((B92+(4*B88/8)),9)</f>
        <v>0x06AAAAAAA</v>
      </c>
      <c r="C72" s="417" t="str">
        <f>C88</f>
        <v>170.666666666667MB</v>
      </c>
      <c r="D72" s="418" t="s">
        <v>870</v>
      </c>
      <c r="E72" s="37"/>
      <c r="F72" s="34"/>
      <c r="G72" s="37"/>
      <c r="I72" s="506"/>
    </row>
    <row r="73" ht="14.25" customHeight="1">
      <c r="A73" s="507" t="s">
        <v>874</v>
      </c>
      <c r="B73" s="342" t="str">
        <f>"0x" &amp; DEC2HEX((B92+(3*B88/8)),9)</f>
        <v>0x060000000</v>
      </c>
      <c r="C73" s="417" t="str">
        <f>C88</f>
        <v>170.666666666667MB</v>
      </c>
      <c r="D73" s="418" t="s">
        <v>870</v>
      </c>
      <c r="E73" s="37"/>
      <c r="F73" s="34"/>
      <c r="G73" s="37"/>
      <c r="I73" s="506"/>
    </row>
    <row r="74" ht="14.25" customHeight="1">
      <c r="A74" s="507" t="s">
        <v>875</v>
      </c>
      <c r="B74" s="342" t="str">
        <f>"0x" &amp; DEC2HEX((B92+(2*B88/8)),9)</f>
        <v>0x055555555</v>
      </c>
      <c r="C74" s="417" t="str">
        <f>C88</f>
        <v>170.666666666667MB</v>
      </c>
      <c r="D74" s="418" t="s">
        <v>870</v>
      </c>
      <c r="E74" s="37"/>
      <c r="F74" s="34"/>
      <c r="G74" s="37"/>
      <c r="I74" s="506"/>
    </row>
    <row r="75" ht="14.25" customHeight="1">
      <c r="A75" s="507" t="s">
        <v>876</v>
      </c>
      <c r="B75" s="342" t="str">
        <f>"0x" &amp; DEC2HEX((B92+(1*B88/8)),9)</f>
        <v>0x04AAAAAAA</v>
      </c>
      <c r="C75" s="417" t="str">
        <f>C88</f>
        <v>170.666666666667MB</v>
      </c>
      <c r="D75" s="418" t="s">
        <v>870</v>
      </c>
      <c r="E75" s="37"/>
      <c r="F75" s="34"/>
      <c r="G75" s="37"/>
      <c r="I75" s="506"/>
    </row>
    <row r="76" ht="15.0" customHeight="1">
      <c r="A76" s="512" t="s">
        <v>877</v>
      </c>
      <c r="B76" s="513" t="str">
        <f>"0x"&amp;DEC2HEX(B92, 9)</f>
        <v>0x040000000</v>
      </c>
      <c r="C76" s="514" t="str">
        <f>C88</f>
        <v>170.666666666667MB</v>
      </c>
      <c r="D76" s="515" t="s">
        <v>870</v>
      </c>
      <c r="E76" s="516"/>
      <c r="F76" s="517"/>
      <c r="G76" s="516"/>
      <c r="H76" s="518"/>
      <c r="I76" s="519"/>
    </row>
    <row r="77" ht="12.0" customHeight="1">
      <c r="A77" s="421" t="s">
        <v>878</v>
      </c>
      <c r="B77" s="323"/>
      <c r="C77" s="422" t="str">
        <f>B85/1024/1024/8&amp;"MB"&amp;" ("&amp;B85/1024/1024/1024&amp;"Gb)"</f>
        <v>4096MB (32Gb)</v>
      </c>
      <c r="D77" s="323"/>
      <c r="E77" s="327"/>
      <c r="F77" s="327"/>
      <c r="G77" s="520"/>
      <c r="H77" s="151"/>
    </row>
    <row r="78" ht="12.0" customHeight="1">
      <c r="A78" s="423" t="s">
        <v>879</v>
      </c>
      <c r="B78" s="424"/>
      <c r="C78" s="424"/>
      <c r="D78" s="424"/>
      <c r="E78" s="425"/>
      <c r="F78" s="425"/>
      <c r="G78" s="426"/>
      <c r="H78" s="151"/>
    </row>
    <row r="79" ht="12.0" customHeight="1">
      <c r="E79" s="151"/>
      <c r="F79" s="151"/>
      <c r="G79" s="151"/>
      <c r="H79" s="151"/>
    </row>
    <row r="80" ht="12.0" customHeight="1">
      <c r="E80" s="151"/>
      <c r="F80" s="151"/>
      <c r="G80" s="151"/>
      <c r="H80" s="151"/>
    </row>
    <row r="81" ht="12.0" customHeight="1">
      <c r="E81" s="151"/>
      <c r="F81" s="151"/>
      <c r="G81" s="151"/>
      <c r="H81" s="151"/>
    </row>
    <row r="82" ht="12.0" customHeight="1">
      <c r="E82" s="151"/>
      <c r="F82" s="151"/>
      <c r="G82" s="151"/>
      <c r="H82" s="151"/>
    </row>
    <row r="83" ht="12.0" customHeight="1">
      <c r="A83" s="427" t="s">
        <v>880</v>
      </c>
      <c r="B83" s="153"/>
      <c r="C83" s="153"/>
      <c r="D83" s="73"/>
      <c r="E83" s="6"/>
      <c r="F83" s="6"/>
      <c r="G83" s="6"/>
      <c r="H83" s="6"/>
    </row>
    <row r="84" ht="12.0" customHeight="1">
      <c r="A84" s="428"/>
      <c r="B84" s="429" t="s">
        <v>881</v>
      </c>
      <c r="C84" s="430" t="s">
        <v>882</v>
      </c>
      <c r="D84" s="431" t="s">
        <v>883</v>
      </c>
      <c r="E84" s="151"/>
      <c r="F84" s="151"/>
      <c r="G84" s="151"/>
      <c r="H84" s="151"/>
    </row>
    <row r="85" ht="12.0" customHeight="1">
      <c r="A85" s="432" t="s">
        <v>884</v>
      </c>
      <c r="B85" s="433">
        <f>(('Register Configuration'!C22) * (2^'Register Configuration'!C26) * (2^'Register Configuration'!C24) * (2^'Register Configuration'!C25) * ('Register Configuration'!C28)) * IF('Register Configuration'!D83=0,1, 3/4)</f>
        <v>34359738368</v>
      </c>
      <c r="C85" s="434" t="str">
        <f t="shared" ref="C85:C89" si="4">B85/1024/1024/8 &amp; "MB"</f>
        <v>4096MB</v>
      </c>
      <c r="D85" s="435" t="str">
        <f t="shared" ref="D85:D89" si="5">"0x"&amp;DEC2HEX(B85/8, 9)</f>
        <v>0x100000000</v>
      </c>
      <c r="E85" s="151"/>
      <c r="F85" s="151"/>
      <c r="G85" s="151"/>
      <c r="H85" s="151"/>
    </row>
    <row r="86" ht="12.0" customHeight="1">
      <c r="A86" s="432" t="s">
        <v>939</v>
      </c>
      <c r="B86" s="433">
        <f>B85/3</f>
        <v>11453246123</v>
      </c>
      <c r="C86" s="434" t="str">
        <f t="shared" si="4"/>
        <v>1365.33333333333MB</v>
      </c>
      <c r="D86" s="435" t="str">
        <f t="shared" si="5"/>
        <v>0x055555555</v>
      </c>
      <c r="E86" s="151"/>
      <c r="F86" s="151"/>
      <c r="G86" s="151"/>
      <c r="H86" s="151"/>
    </row>
    <row r="87" ht="12.0" customHeight="1">
      <c r="A87" s="432" t="s">
        <v>940</v>
      </c>
      <c r="B87" s="433">
        <f>B86/8</f>
        <v>1431655765</v>
      </c>
      <c r="C87" s="436" t="str">
        <f t="shared" si="4"/>
        <v>170.666666666667MB</v>
      </c>
      <c r="D87" s="435" t="str">
        <f t="shared" si="5"/>
        <v>0x00AAAAAAA</v>
      </c>
      <c r="E87" s="151"/>
      <c r="F87" s="151"/>
      <c r="G87" s="151"/>
      <c r="H87" s="151"/>
    </row>
    <row r="88" ht="12.0" customHeight="1">
      <c r="A88" s="437" t="s">
        <v>941</v>
      </c>
      <c r="B88" s="433">
        <f>B86/D13</f>
        <v>1431655765</v>
      </c>
      <c r="C88" s="436" t="str">
        <f t="shared" si="4"/>
        <v>170.666666666667MB</v>
      </c>
      <c r="D88" s="435" t="str">
        <f t="shared" si="5"/>
        <v>0x00AAAAAAA</v>
      </c>
      <c r="E88" s="159"/>
      <c r="F88" s="151"/>
      <c r="G88" s="151"/>
      <c r="H88" s="151"/>
    </row>
    <row r="89" ht="12.0" customHeight="1">
      <c r="A89" s="438" t="s">
        <v>942</v>
      </c>
      <c r="B89" s="439">
        <f>(B86- (B86/8) - (7*B88))</f>
        <v>0</v>
      </c>
      <c r="C89" s="440" t="str">
        <f t="shared" si="4"/>
        <v>0MB</v>
      </c>
      <c r="D89" s="441" t="str">
        <f t="shared" si="5"/>
        <v>0x000000000</v>
      </c>
      <c r="E89" s="151"/>
      <c r="F89" s="151"/>
      <c r="G89" s="151"/>
      <c r="H89" s="151"/>
    </row>
    <row r="90" ht="12.0" customHeight="1">
      <c r="E90" s="159"/>
      <c r="F90" s="151"/>
      <c r="G90" s="151"/>
      <c r="H90" s="151"/>
    </row>
    <row r="91" ht="12.0" customHeight="1">
      <c r="A91" s="442" t="s">
        <v>888</v>
      </c>
      <c r="B91" s="443" t="s">
        <v>881</v>
      </c>
      <c r="C91" s="444" t="s">
        <v>883</v>
      </c>
      <c r="E91" s="151"/>
      <c r="F91" s="151"/>
      <c r="G91" s="151"/>
      <c r="H91" s="151"/>
    </row>
    <row r="92" ht="12.0" customHeight="1">
      <c r="A92" s="432" t="s">
        <v>943</v>
      </c>
      <c r="B92" s="521">
        <f>1*1024*1024*1024</f>
        <v>1073741824</v>
      </c>
      <c r="C92" s="522" t="str">
        <f t="shared" ref="C92:C94" si="6">"0x"&amp;DEC2HEX(B92, 9)</f>
        <v>0x040000000</v>
      </c>
      <c r="E92" s="151"/>
      <c r="F92" s="151"/>
      <c r="G92" s="151"/>
      <c r="H92" s="151"/>
    </row>
    <row r="93" ht="12.0" customHeight="1">
      <c r="A93" s="432" t="s">
        <v>944</v>
      </c>
      <c r="B93" s="523">
        <f>(B92 + (B85/8)/3)</f>
        <v>2505397589</v>
      </c>
      <c r="C93" s="522" t="str">
        <f t="shared" si="6"/>
        <v>0x095555555</v>
      </c>
      <c r="E93" s="151"/>
      <c r="F93" s="151"/>
      <c r="G93" s="151"/>
      <c r="H93" s="151"/>
    </row>
    <row r="94" ht="12.0" customHeight="1">
      <c r="A94" s="438" t="s">
        <v>945</v>
      </c>
      <c r="B94" s="445">
        <f>(B93 + (B85/8)/3)</f>
        <v>3937053355</v>
      </c>
      <c r="C94" s="446" t="str">
        <f t="shared" si="6"/>
        <v>0x0EAAAAAAA</v>
      </c>
      <c r="E94" s="151"/>
      <c r="F94" s="151"/>
      <c r="G94" s="151"/>
      <c r="H94" s="151"/>
    </row>
    <row r="95" ht="12.0" customHeight="1">
      <c r="E95" s="151"/>
      <c r="F95" s="151"/>
      <c r="G95" s="151"/>
      <c r="H95" s="151"/>
    </row>
    <row r="96" ht="12.0" customHeight="1">
      <c r="A96" s="524" t="s">
        <v>890</v>
      </c>
      <c r="B96" s="369"/>
      <c r="C96" s="94"/>
    </row>
    <row r="97" ht="12.0" customHeight="1">
      <c r="A97" s="432" t="s">
        <v>891</v>
      </c>
      <c r="B97" s="449">
        <f>B86/64/8</f>
        <v>22369621.33</v>
      </c>
      <c r="C97" s="525" t="str">
        <f t="shared" ref="C97:C99" si="7">B97/1024/1024 &amp;"MB"</f>
        <v>21.3333333333333MB</v>
      </c>
    </row>
    <row r="98" ht="12.0" customHeight="1">
      <c r="A98" s="432" t="s">
        <v>892</v>
      </c>
      <c r="B98" s="449">
        <f>B89/8/8</f>
        <v>0</v>
      </c>
      <c r="C98" s="525" t="str">
        <f t="shared" si="7"/>
        <v>0MB</v>
      </c>
    </row>
    <row r="99" ht="12.0" customHeight="1">
      <c r="A99" s="438" t="s">
        <v>893</v>
      </c>
      <c r="B99" s="526">
        <f>B88/8/8</f>
        <v>22369621.33</v>
      </c>
      <c r="C99" s="527" t="str">
        <f t="shared" si="7"/>
        <v>21.3333333333333MB</v>
      </c>
    </row>
    <row r="100" ht="12.0" customHeight="1">
      <c r="A100" s="442" t="s">
        <v>894</v>
      </c>
      <c r="B100" s="528">
        <f>B92 + B86/8 - B86/8/8</f>
        <v>2326440619</v>
      </c>
      <c r="C100" s="529" t="s">
        <v>946</v>
      </c>
    </row>
    <row r="101" ht="12.0" customHeight="1">
      <c r="A101" s="432" t="s">
        <v>895</v>
      </c>
      <c r="B101" s="449">
        <f t="shared" ref="B101:B103" si="8">B100+ B97</f>
        <v>2348810240</v>
      </c>
      <c r="C101" s="164"/>
    </row>
    <row r="102" ht="12.0" customHeight="1">
      <c r="A102" s="432" t="s">
        <v>896</v>
      </c>
      <c r="B102" s="449">
        <f t="shared" si="8"/>
        <v>2348810240</v>
      </c>
      <c r="C102" s="164"/>
    </row>
    <row r="103" ht="12.0" customHeight="1">
      <c r="A103" s="432" t="s">
        <v>897</v>
      </c>
      <c r="B103" s="449">
        <f t="shared" si="8"/>
        <v>2371179861</v>
      </c>
      <c r="C103" s="164"/>
    </row>
    <row r="104" ht="12.0" customHeight="1">
      <c r="A104" s="432" t="s">
        <v>898</v>
      </c>
      <c r="B104" s="449">
        <f>B103+ B99</f>
        <v>2393549483</v>
      </c>
      <c r="C104" s="164"/>
    </row>
    <row r="105" ht="12.0" customHeight="1">
      <c r="A105" s="432" t="s">
        <v>899</v>
      </c>
      <c r="B105" s="449">
        <f>B104+ B99</f>
        <v>2415919104</v>
      </c>
      <c r="C105" s="164"/>
    </row>
    <row r="106" ht="12.0" customHeight="1">
      <c r="A106" s="432" t="s">
        <v>900</v>
      </c>
      <c r="B106" s="449">
        <f>B105+ B99</f>
        <v>2438288725</v>
      </c>
      <c r="C106" s="164"/>
    </row>
    <row r="107" ht="12.0" customHeight="1">
      <c r="A107" s="432" t="s">
        <v>901</v>
      </c>
      <c r="B107" s="449">
        <f>B106+ B99</f>
        <v>2460658347</v>
      </c>
      <c r="C107" s="164"/>
    </row>
    <row r="108" ht="12.0" customHeight="1">
      <c r="A108" s="438" t="s">
        <v>902</v>
      </c>
      <c r="B108" s="526">
        <f>B107+ B99</f>
        <v>2483027968</v>
      </c>
      <c r="C108" s="50"/>
    </row>
    <row r="109" ht="12.0" customHeight="1">
      <c r="A109" s="442" t="s">
        <v>894</v>
      </c>
      <c r="B109" s="528">
        <f>B93 + B86/8 - B86/8/8</f>
        <v>3758096384</v>
      </c>
      <c r="C109" s="529" t="s">
        <v>947</v>
      </c>
    </row>
    <row r="110" ht="12.0" customHeight="1">
      <c r="A110" s="432" t="s">
        <v>895</v>
      </c>
      <c r="B110" s="449">
        <f t="shared" ref="B110:B112" si="9">B109+ B97</f>
        <v>3780466005</v>
      </c>
      <c r="C110" s="164"/>
    </row>
    <row r="111" ht="12.0" customHeight="1">
      <c r="A111" s="432" t="s">
        <v>896</v>
      </c>
      <c r="B111" s="449">
        <f t="shared" si="9"/>
        <v>3780466005</v>
      </c>
      <c r="C111" s="164"/>
    </row>
    <row r="112" ht="12.0" customHeight="1">
      <c r="A112" s="432" t="s">
        <v>897</v>
      </c>
      <c r="B112" s="449">
        <f t="shared" si="9"/>
        <v>3802835627</v>
      </c>
      <c r="C112" s="164"/>
    </row>
    <row r="113" ht="12.0" customHeight="1">
      <c r="A113" s="432" t="s">
        <v>898</v>
      </c>
      <c r="B113" s="449">
        <f>B112+ B99</f>
        <v>3825205248</v>
      </c>
      <c r="C113" s="164"/>
    </row>
    <row r="114" ht="12.0" customHeight="1">
      <c r="A114" s="432" t="s">
        <v>899</v>
      </c>
      <c r="B114" s="449">
        <f>B113+ B99</f>
        <v>3847574869</v>
      </c>
      <c r="C114" s="164"/>
    </row>
    <row r="115" ht="12.0" customHeight="1">
      <c r="A115" s="432" t="s">
        <v>900</v>
      </c>
      <c r="B115" s="449">
        <f>B114+ B99</f>
        <v>3869944491</v>
      </c>
      <c r="C115" s="164"/>
    </row>
    <row r="116" ht="12.0" customHeight="1">
      <c r="A116" s="432" t="s">
        <v>901</v>
      </c>
      <c r="B116" s="449">
        <f>B115+ B99</f>
        <v>3892314112</v>
      </c>
      <c r="C116" s="164"/>
    </row>
    <row r="117" ht="12.0" customHeight="1">
      <c r="A117" s="438" t="s">
        <v>902</v>
      </c>
      <c r="B117" s="526">
        <f>B116+ B99</f>
        <v>3914683733</v>
      </c>
      <c r="C117" s="50"/>
    </row>
    <row r="118" ht="12.0" customHeight="1">
      <c r="A118" s="442" t="s">
        <v>894</v>
      </c>
      <c r="B118" s="528">
        <f>B94 + B86/8 - B86/8/8</f>
        <v>5189752149</v>
      </c>
      <c r="C118" s="529" t="s">
        <v>948</v>
      </c>
    </row>
    <row r="119" ht="12.0" customHeight="1">
      <c r="A119" s="432" t="s">
        <v>895</v>
      </c>
      <c r="B119" s="449">
        <f t="shared" ref="B119:B121" si="10">B118+ B97</f>
        <v>5212121771</v>
      </c>
      <c r="C119" s="164"/>
    </row>
    <row r="120" ht="12.0" customHeight="1">
      <c r="A120" s="432" t="s">
        <v>896</v>
      </c>
      <c r="B120" s="449">
        <f t="shared" si="10"/>
        <v>5212121771</v>
      </c>
      <c r="C120" s="164"/>
    </row>
    <row r="121" ht="12.0" customHeight="1">
      <c r="A121" s="432" t="s">
        <v>897</v>
      </c>
      <c r="B121" s="449">
        <f t="shared" si="10"/>
        <v>5234491392</v>
      </c>
      <c r="C121" s="164"/>
    </row>
    <row r="122" ht="12.0" customHeight="1">
      <c r="A122" s="432" t="s">
        <v>898</v>
      </c>
      <c r="B122" s="449">
        <f>B121+ B99</f>
        <v>5256861013</v>
      </c>
      <c r="C122" s="164"/>
    </row>
    <row r="123" ht="12.0" customHeight="1">
      <c r="A123" s="432" t="s">
        <v>899</v>
      </c>
      <c r="B123" s="449">
        <f>B122+ B99</f>
        <v>5279230635</v>
      </c>
      <c r="C123" s="164"/>
    </row>
    <row r="124" ht="12.0" customHeight="1">
      <c r="A124" s="432" t="s">
        <v>900</v>
      </c>
      <c r="B124" s="449">
        <f>B123+ B99</f>
        <v>5301600256</v>
      </c>
      <c r="C124" s="164"/>
    </row>
    <row r="125" ht="12.0" customHeight="1">
      <c r="A125" s="432" t="s">
        <v>901</v>
      </c>
      <c r="B125" s="449">
        <f>B124+ B99</f>
        <v>5323969877</v>
      </c>
      <c r="C125" s="164"/>
    </row>
    <row r="126" ht="12.0" customHeight="1">
      <c r="A126" s="438" t="s">
        <v>902</v>
      </c>
      <c r="B126" s="526">
        <f>B125+ B99</f>
        <v>5346339499</v>
      </c>
      <c r="C126" s="50"/>
    </row>
    <row r="127" ht="12.0" customHeight="1"/>
    <row r="128" ht="12.0" customHeight="1">
      <c r="A128" s="451" t="s">
        <v>903</v>
      </c>
      <c r="B128" s="369"/>
      <c r="C128" s="94"/>
    </row>
    <row r="129" ht="12.0" customHeight="1">
      <c r="A129" s="452" t="s">
        <v>904</v>
      </c>
      <c r="B129" s="449">
        <f>LOG(ECC_Config_nonBinaryAligned!D13,2)-3</f>
        <v>0</v>
      </c>
      <c r="C129" s="453"/>
    </row>
    <row r="130" ht="12.0" customHeight="1">
      <c r="A130" s="454"/>
      <c r="B130" s="455"/>
      <c r="C130" s="456"/>
    </row>
    <row r="131" ht="12.0" customHeight="1">
      <c r="A131" s="452" t="s">
        <v>905</v>
      </c>
      <c r="B131" s="449">
        <f>IF(D13=8,0,IF(D27="PROTECTED",1,0))</f>
        <v>0</v>
      </c>
      <c r="C131" s="457"/>
    </row>
    <row r="132" ht="12.0" customHeight="1">
      <c r="A132" s="458" t="s">
        <v>906</v>
      </c>
      <c r="B132" s="449">
        <f>IF(D28="PROTECTED", BITLSHIFT(1,6), 0)</f>
        <v>64</v>
      </c>
      <c r="C132" s="459" t="str">
        <f t="shared" ref="C132:C140" si="11">"0x"&amp;DEC2HEX(B132,7)</f>
        <v>0x0000040</v>
      </c>
    </row>
    <row r="133" ht="12.0" customHeight="1">
      <c r="A133" s="458" t="s">
        <v>907</v>
      </c>
      <c r="B133" s="449">
        <f>IF(D29="PROTECTED", BITLSHIFT(1,5), 0)</f>
        <v>32</v>
      </c>
      <c r="C133" s="459" t="str">
        <f t="shared" si="11"/>
        <v>0x0000020</v>
      </c>
    </row>
    <row r="134" ht="12.0" customHeight="1">
      <c r="A134" s="458" t="s">
        <v>908</v>
      </c>
      <c r="B134" s="449">
        <f>IF(D30="PROTECTED", BITLSHIFT(1,4), 0)</f>
        <v>16</v>
      </c>
      <c r="C134" s="459" t="str">
        <f t="shared" si="11"/>
        <v>0x0000010</v>
      </c>
    </row>
    <row r="135" ht="12.0" customHeight="1">
      <c r="A135" s="458" t="s">
        <v>909</v>
      </c>
      <c r="B135" s="449">
        <f>IF(D31="PROTECTED", BITLSHIFT(1,3), 0)</f>
        <v>8</v>
      </c>
      <c r="C135" s="459" t="str">
        <f t="shared" si="11"/>
        <v>0x0000008</v>
      </c>
    </row>
    <row r="136" ht="12.0" customHeight="1">
      <c r="A136" s="458" t="s">
        <v>910</v>
      </c>
      <c r="B136" s="449">
        <f>IF(D32="PROTECTED", BITLSHIFT(1,2), 0)</f>
        <v>4</v>
      </c>
      <c r="C136" s="459" t="str">
        <f t="shared" si="11"/>
        <v>0x0000004</v>
      </c>
    </row>
    <row r="137" ht="12.0" customHeight="1">
      <c r="A137" s="458" t="s">
        <v>911</v>
      </c>
      <c r="B137" s="449">
        <f>IF(D33="PROTECTED", BITLSHIFT(1,1), 0)</f>
        <v>2</v>
      </c>
      <c r="C137" s="459" t="str">
        <f t="shared" si="11"/>
        <v>0x0000002</v>
      </c>
    </row>
    <row r="138" ht="12.0" customHeight="1">
      <c r="A138" s="458" t="s">
        <v>912</v>
      </c>
      <c r="B138" s="449">
        <f>IF(D34="PROTECTED", BITLSHIFT(1,0), 0)</f>
        <v>1</v>
      </c>
      <c r="C138" s="459" t="str">
        <f t="shared" si="11"/>
        <v>0x0000001</v>
      </c>
    </row>
    <row r="139" ht="12.0" customHeight="1">
      <c r="A139" s="458" t="s">
        <v>913</v>
      </c>
      <c r="B139" s="449">
        <f>SUM(B132:B138)</f>
        <v>127</v>
      </c>
      <c r="C139" s="459" t="str">
        <f t="shared" si="11"/>
        <v>0x000007F</v>
      </c>
    </row>
    <row r="140" ht="12.0" customHeight="1">
      <c r="A140" s="460" t="s">
        <v>914</v>
      </c>
      <c r="B140" s="461">
        <f>IF(AND('Register Configuration'!G27="ENABLED", (B139=0)),"ERROR!", B139)</f>
        <v>127</v>
      </c>
      <c r="C140" s="462" t="str">
        <f t="shared" si="11"/>
        <v>0x000007F</v>
      </c>
    </row>
    <row r="141" ht="12.0" customHeight="1">
      <c r="E141" s="151"/>
      <c r="F141" s="151"/>
      <c r="G141" s="151"/>
      <c r="H141" s="151"/>
    </row>
    <row r="142" ht="12.0" customHeight="1">
      <c r="E142" s="151"/>
      <c r="F142" s="151"/>
      <c r="G142" s="151"/>
      <c r="H142" s="151"/>
    </row>
    <row r="143" ht="12.0" customHeight="1">
      <c r="E143" s="151"/>
      <c r="F143" s="151"/>
      <c r="G143" s="151"/>
      <c r="H143" s="151"/>
    </row>
    <row r="144" ht="12.0" customHeight="1">
      <c r="E144" s="151"/>
      <c r="F144" s="151"/>
      <c r="G144" s="151"/>
      <c r="H144" s="151"/>
    </row>
    <row r="145" ht="12.0" customHeight="1">
      <c r="E145" s="151"/>
      <c r="F145" s="151"/>
      <c r="G145" s="151"/>
      <c r="H145" s="151"/>
    </row>
    <row r="146" ht="12.0" customHeight="1">
      <c r="E146" s="151"/>
      <c r="F146" s="151"/>
      <c r="G146" s="151"/>
      <c r="H146" s="151"/>
    </row>
    <row r="147" ht="12.0" customHeight="1">
      <c r="E147" s="151"/>
      <c r="F147" s="151"/>
      <c r="G147" s="151"/>
      <c r="H147" s="151"/>
    </row>
    <row r="148" ht="12.0" customHeight="1">
      <c r="E148" s="151"/>
      <c r="F148" s="151"/>
      <c r="G148" s="151"/>
      <c r="H148" s="151"/>
    </row>
    <row r="149" ht="12.0" customHeight="1">
      <c r="E149" s="151"/>
      <c r="F149" s="151"/>
      <c r="G149" s="151"/>
      <c r="H149" s="151"/>
    </row>
    <row r="150" ht="12.0" customHeight="1">
      <c r="E150" s="151"/>
      <c r="F150" s="151"/>
      <c r="G150" s="151"/>
      <c r="H150" s="151"/>
    </row>
    <row r="151" ht="12.0" customHeight="1">
      <c r="E151" s="151"/>
      <c r="F151" s="151"/>
      <c r="G151" s="151"/>
      <c r="H151" s="151"/>
    </row>
    <row r="152" ht="12.0" customHeight="1">
      <c r="E152" s="151"/>
      <c r="F152" s="151"/>
      <c r="G152" s="151"/>
      <c r="H152" s="151"/>
    </row>
    <row r="153" ht="12.0" customHeight="1">
      <c r="E153" s="151"/>
      <c r="F153" s="151"/>
      <c r="G153" s="151"/>
      <c r="H153" s="151"/>
    </row>
    <row r="154" ht="12.0" customHeight="1">
      <c r="E154" s="151"/>
      <c r="F154" s="151"/>
      <c r="G154" s="151"/>
      <c r="H154" s="151"/>
    </row>
    <row r="155" ht="12.0" customHeight="1">
      <c r="E155" s="151"/>
      <c r="F155" s="151"/>
      <c r="G155" s="151"/>
      <c r="H155" s="151"/>
    </row>
    <row r="156" ht="12.0" customHeight="1">
      <c r="E156" s="151"/>
      <c r="F156" s="151"/>
      <c r="G156" s="151"/>
      <c r="H156" s="151"/>
    </row>
    <row r="157" ht="12.0" customHeight="1">
      <c r="E157" s="151"/>
      <c r="F157" s="151"/>
      <c r="G157" s="151"/>
      <c r="H157" s="151"/>
    </row>
    <row r="158" ht="12.0" customHeight="1">
      <c r="E158" s="151"/>
      <c r="F158" s="151"/>
      <c r="G158" s="151"/>
      <c r="H158" s="151"/>
    </row>
    <row r="159" ht="12.0" customHeight="1">
      <c r="E159" s="151"/>
      <c r="F159" s="151"/>
      <c r="G159" s="151"/>
      <c r="H159" s="151"/>
    </row>
    <row r="160" ht="12.0" customHeight="1">
      <c r="E160" s="151"/>
      <c r="F160" s="151"/>
      <c r="G160" s="151"/>
      <c r="H160" s="151"/>
    </row>
    <row r="161" ht="12.0" customHeight="1">
      <c r="E161" s="151"/>
      <c r="F161" s="151"/>
      <c r="G161" s="151"/>
      <c r="H161" s="151"/>
    </row>
    <row r="162" ht="12.0" customHeight="1">
      <c r="E162" s="151"/>
      <c r="F162" s="151"/>
      <c r="G162" s="151"/>
      <c r="H162" s="151"/>
    </row>
    <row r="163" ht="12.0" customHeight="1">
      <c r="E163" s="151"/>
      <c r="F163" s="151"/>
      <c r="G163" s="151"/>
      <c r="H163" s="151"/>
    </row>
    <row r="164" ht="12.0" customHeight="1">
      <c r="E164" s="151"/>
      <c r="F164" s="151"/>
      <c r="G164" s="151"/>
      <c r="H164" s="151"/>
    </row>
    <row r="165" ht="12.0" customHeight="1">
      <c r="E165" s="151"/>
      <c r="F165" s="151"/>
      <c r="G165" s="151"/>
      <c r="H165" s="151"/>
    </row>
    <row r="166" ht="12.0" customHeight="1">
      <c r="E166" s="151"/>
      <c r="F166" s="151"/>
      <c r="G166" s="151"/>
      <c r="H166" s="151"/>
    </row>
    <row r="167" ht="12.0" customHeight="1">
      <c r="E167" s="151"/>
      <c r="F167" s="151"/>
      <c r="G167" s="151"/>
      <c r="H167" s="151"/>
    </row>
    <row r="168" ht="12.0" customHeight="1">
      <c r="E168" s="151"/>
      <c r="F168" s="151"/>
      <c r="G168" s="151"/>
      <c r="H168" s="151"/>
    </row>
    <row r="169" ht="12.0" customHeight="1">
      <c r="E169" s="151"/>
      <c r="F169" s="151"/>
      <c r="G169" s="151"/>
      <c r="H169" s="151"/>
    </row>
    <row r="170" ht="12.0" customHeight="1">
      <c r="E170" s="151"/>
      <c r="F170" s="151"/>
      <c r="G170" s="151"/>
      <c r="H170" s="151"/>
    </row>
    <row r="171" ht="12.0" customHeight="1">
      <c r="E171" s="151"/>
      <c r="F171" s="151"/>
      <c r="G171" s="151"/>
      <c r="H171" s="151"/>
    </row>
    <row r="172" ht="12.0" customHeight="1">
      <c r="E172" s="151"/>
      <c r="F172" s="151"/>
      <c r="G172" s="151"/>
      <c r="H172" s="151"/>
    </row>
    <row r="173" ht="12.0" customHeight="1">
      <c r="E173" s="151"/>
      <c r="F173" s="151"/>
      <c r="G173" s="151"/>
      <c r="H173" s="151"/>
    </row>
    <row r="174" ht="12.0" customHeight="1">
      <c r="E174" s="151"/>
      <c r="F174" s="151"/>
      <c r="G174" s="151"/>
      <c r="H174" s="151"/>
    </row>
    <row r="175" ht="12.0" customHeight="1">
      <c r="E175" s="151"/>
      <c r="F175" s="151"/>
      <c r="G175" s="151"/>
      <c r="H175" s="151"/>
    </row>
    <row r="176" ht="12.0" customHeight="1">
      <c r="E176" s="151"/>
      <c r="F176" s="151"/>
      <c r="G176" s="151"/>
      <c r="H176" s="151"/>
    </row>
    <row r="177" ht="12.0" customHeight="1">
      <c r="E177" s="151"/>
      <c r="F177" s="151"/>
      <c r="G177" s="151"/>
      <c r="H177" s="151"/>
    </row>
    <row r="178" ht="12.0" customHeight="1">
      <c r="E178" s="151"/>
      <c r="F178" s="151"/>
      <c r="G178" s="151"/>
      <c r="H178" s="151"/>
    </row>
    <row r="179" ht="12.0" customHeight="1">
      <c r="E179" s="151"/>
      <c r="F179" s="151"/>
      <c r="G179" s="151"/>
      <c r="H179" s="151"/>
    </row>
    <row r="180" ht="12.0" customHeight="1">
      <c r="E180" s="151"/>
      <c r="F180" s="151"/>
      <c r="G180" s="151"/>
      <c r="H180" s="151"/>
    </row>
    <row r="181" ht="12.0" customHeight="1">
      <c r="E181" s="151"/>
      <c r="F181" s="151"/>
      <c r="G181" s="151"/>
      <c r="H181" s="151"/>
    </row>
    <row r="182" ht="12.0" customHeight="1">
      <c r="E182" s="151"/>
      <c r="F182" s="151"/>
      <c r="G182" s="151"/>
      <c r="H182" s="151"/>
    </row>
    <row r="183" ht="12.0" customHeight="1">
      <c r="E183" s="151"/>
      <c r="F183" s="151"/>
      <c r="G183" s="151"/>
      <c r="H183" s="151"/>
    </row>
    <row r="184" ht="12.0" customHeight="1">
      <c r="E184" s="151"/>
      <c r="F184" s="151"/>
      <c r="G184" s="151"/>
      <c r="H184" s="151"/>
    </row>
    <row r="185" ht="12.0" customHeight="1">
      <c r="E185" s="151"/>
      <c r="F185" s="151"/>
      <c r="G185" s="151"/>
      <c r="H185" s="151"/>
    </row>
    <row r="186" ht="12.0" customHeight="1">
      <c r="E186" s="151"/>
      <c r="F186" s="151"/>
      <c r="G186" s="151"/>
      <c r="H186" s="151"/>
    </row>
    <row r="187" ht="12.0" customHeight="1">
      <c r="E187" s="151"/>
      <c r="F187" s="151"/>
      <c r="G187" s="151"/>
      <c r="H187" s="151"/>
    </row>
    <row r="188" ht="12.0" customHeight="1">
      <c r="E188" s="151"/>
      <c r="F188" s="151"/>
      <c r="G188" s="151"/>
      <c r="H188" s="151"/>
    </row>
    <row r="189" ht="12.0" customHeight="1">
      <c r="E189" s="151"/>
      <c r="F189" s="151"/>
      <c r="G189" s="151"/>
      <c r="H189" s="151"/>
    </row>
    <row r="190" ht="12.0" customHeight="1">
      <c r="E190" s="151"/>
      <c r="F190" s="151"/>
      <c r="G190" s="151"/>
      <c r="H190" s="151"/>
    </row>
    <row r="191" ht="12.0" customHeight="1">
      <c r="E191" s="151"/>
      <c r="F191" s="151"/>
      <c r="G191" s="151"/>
      <c r="H191" s="151"/>
    </row>
    <row r="192" ht="12.0" customHeight="1">
      <c r="E192" s="151"/>
      <c r="F192" s="151"/>
      <c r="G192" s="151"/>
      <c r="H192" s="151"/>
    </row>
    <row r="193" ht="12.0" customHeight="1">
      <c r="E193" s="151"/>
      <c r="F193" s="151"/>
      <c r="G193" s="151"/>
      <c r="H193" s="151"/>
    </row>
    <row r="194" ht="12.0" customHeight="1">
      <c r="E194" s="151"/>
      <c r="F194" s="151"/>
      <c r="G194" s="151"/>
      <c r="H194" s="151"/>
    </row>
    <row r="195" ht="12.0" customHeight="1">
      <c r="E195" s="151"/>
      <c r="F195" s="151"/>
      <c r="G195" s="151"/>
      <c r="H195" s="151"/>
    </row>
    <row r="196" ht="12.0" customHeight="1">
      <c r="E196" s="151"/>
      <c r="F196" s="151"/>
      <c r="G196" s="151"/>
      <c r="H196" s="151"/>
    </row>
    <row r="197" ht="12.0" customHeight="1">
      <c r="E197" s="151"/>
      <c r="F197" s="151"/>
      <c r="G197" s="151"/>
      <c r="H197" s="151"/>
    </row>
    <row r="198" ht="12.0" customHeight="1">
      <c r="E198" s="151"/>
      <c r="F198" s="151"/>
      <c r="G198" s="151"/>
      <c r="H198" s="151"/>
    </row>
    <row r="199" ht="12.0" customHeight="1">
      <c r="E199" s="151"/>
      <c r="F199" s="151"/>
      <c r="G199" s="151"/>
      <c r="H199" s="151"/>
    </row>
    <row r="200" ht="12.0" customHeight="1">
      <c r="E200" s="151"/>
      <c r="F200" s="151"/>
      <c r="G200" s="151"/>
      <c r="H200" s="151"/>
    </row>
    <row r="201" ht="12.0" customHeight="1">
      <c r="E201" s="151"/>
      <c r="F201" s="151"/>
      <c r="G201" s="151"/>
      <c r="H201" s="151"/>
    </row>
    <row r="202" ht="12.0" customHeight="1">
      <c r="E202" s="151"/>
      <c r="F202" s="151"/>
      <c r="G202" s="151"/>
      <c r="H202" s="151"/>
    </row>
    <row r="203" ht="12.0" customHeight="1">
      <c r="E203" s="151"/>
      <c r="F203" s="151"/>
      <c r="G203" s="151"/>
      <c r="H203" s="151"/>
    </row>
    <row r="204" ht="12.0" customHeight="1">
      <c r="E204" s="151"/>
      <c r="F204" s="151"/>
      <c r="G204" s="151"/>
      <c r="H204" s="151"/>
    </row>
    <row r="205" ht="12.0" customHeight="1">
      <c r="E205" s="151"/>
      <c r="F205" s="151"/>
      <c r="G205" s="151"/>
      <c r="H205" s="151"/>
    </row>
    <row r="206" ht="12.0" customHeight="1">
      <c r="E206" s="151"/>
      <c r="F206" s="151"/>
      <c r="G206" s="151"/>
      <c r="H206" s="151"/>
    </row>
    <row r="207" ht="12.0" customHeight="1">
      <c r="E207" s="151"/>
      <c r="F207" s="151"/>
      <c r="G207" s="151"/>
      <c r="H207" s="151"/>
    </row>
    <row r="208" ht="12.0" customHeight="1">
      <c r="E208" s="151"/>
      <c r="F208" s="151"/>
      <c r="G208" s="151"/>
      <c r="H208" s="151"/>
    </row>
    <row r="209" ht="12.0" customHeight="1">
      <c r="E209" s="151"/>
      <c r="F209" s="151"/>
      <c r="G209" s="151"/>
      <c r="H209" s="151"/>
    </row>
    <row r="210" ht="12.0" customHeight="1">
      <c r="E210" s="151"/>
      <c r="F210" s="151"/>
      <c r="G210" s="151"/>
      <c r="H210" s="151"/>
    </row>
    <row r="211" ht="12.0" customHeight="1">
      <c r="E211" s="151"/>
      <c r="F211" s="151"/>
      <c r="G211" s="151"/>
      <c r="H211" s="151"/>
    </row>
    <row r="212" ht="12.0" customHeight="1">
      <c r="E212" s="151"/>
      <c r="F212" s="151"/>
      <c r="G212" s="151"/>
      <c r="H212" s="151"/>
    </row>
    <row r="213" ht="12.0" customHeight="1">
      <c r="E213" s="151"/>
      <c r="F213" s="151"/>
      <c r="G213" s="151"/>
      <c r="H213" s="151"/>
    </row>
    <row r="214" ht="12.0" customHeight="1">
      <c r="E214" s="151"/>
      <c r="F214" s="151"/>
      <c r="G214" s="151"/>
      <c r="H214" s="151"/>
    </row>
    <row r="215" ht="12.0" customHeight="1">
      <c r="E215" s="151"/>
      <c r="F215" s="151"/>
      <c r="G215" s="151"/>
      <c r="H215" s="151"/>
    </row>
    <row r="216" ht="12.0" customHeight="1">
      <c r="E216" s="151"/>
      <c r="F216" s="151"/>
      <c r="G216" s="151"/>
      <c r="H216" s="151"/>
    </row>
    <row r="217" ht="12.0" customHeight="1">
      <c r="E217" s="151"/>
      <c r="F217" s="151"/>
      <c r="G217" s="151"/>
      <c r="H217" s="151"/>
    </row>
    <row r="218" ht="12.0" customHeight="1">
      <c r="E218" s="151"/>
      <c r="F218" s="151"/>
      <c r="G218" s="151"/>
      <c r="H218" s="151"/>
    </row>
    <row r="219" ht="12.0" customHeight="1">
      <c r="E219" s="151"/>
      <c r="F219" s="151"/>
      <c r="G219" s="151"/>
      <c r="H219" s="151"/>
    </row>
    <row r="220" ht="12.0" customHeight="1">
      <c r="E220" s="151"/>
      <c r="F220" s="151"/>
      <c r="G220" s="151"/>
      <c r="H220" s="151"/>
    </row>
    <row r="221" ht="12.0" customHeight="1">
      <c r="E221" s="151"/>
      <c r="F221" s="151"/>
      <c r="G221" s="151"/>
      <c r="H221" s="151"/>
    </row>
    <row r="222" ht="12.0" customHeight="1">
      <c r="E222" s="151"/>
      <c r="F222" s="151"/>
      <c r="G222" s="151"/>
      <c r="H222" s="151"/>
    </row>
    <row r="223" ht="12.0" customHeight="1">
      <c r="E223" s="151"/>
      <c r="F223" s="151"/>
      <c r="G223" s="151"/>
      <c r="H223" s="151"/>
    </row>
    <row r="224" ht="12.0" customHeight="1">
      <c r="E224" s="151"/>
      <c r="F224" s="151"/>
      <c r="G224" s="151"/>
      <c r="H224" s="151"/>
    </row>
    <row r="225" ht="12.0" customHeight="1">
      <c r="E225" s="151"/>
      <c r="F225" s="151"/>
      <c r="G225" s="151"/>
      <c r="H225" s="151"/>
    </row>
    <row r="226" ht="12.0" customHeight="1">
      <c r="E226" s="151"/>
      <c r="F226" s="151"/>
      <c r="G226" s="151"/>
      <c r="H226" s="151"/>
    </row>
    <row r="227" ht="12.0" customHeight="1">
      <c r="E227" s="151"/>
      <c r="F227" s="151"/>
      <c r="G227" s="151"/>
      <c r="H227" s="151"/>
    </row>
    <row r="228" ht="12.0" customHeight="1">
      <c r="E228" s="151"/>
      <c r="F228" s="151"/>
      <c r="G228" s="151"/>
      <c r="H228" s="151"/>
    </row>
    <row r="229" ht="12.0" customHeight="1">
      <c r="E229" s="151"/>
      <c r="F229" s="151"/>
      <c r="G229" s="151"/>
      <c r="H229" s="151"/>
    </row>
    <row r="230" ht="12.0" customHeight="1">
      <c r="E230" s="151"/>
      <c r="F230" s="151"/>
      <c r="G230" s="151"/>
      <c r="H230" s="151"/>
    </row>
    <row r="231" ht="12.0" customHeight="1">
      <c r="E231" s="151"/>
      <c r="F231" s="151"/>
      <c r="G231" s="151"/>
      <c r="H231" s="151"/>
    </row>
    <row r="232" ht="12.0" customHeight="1">
      <c r="E232" s="151"/>
      <c r="F232" s="151"/>
      <c r="G232" s="151"/>
      <c r="H232" s="151"/>
    </row>
    <row r="233" ht="12.0" customHeight="1">
      <c r="E233" s="151"/>
      <c r="F233" s="151"/>
      <c r="G233" s="151"/>
      <c r="H233" s="151"/>
    </row>
    <row r="234" ht="12.0" customHeight="1">
      <c r="E234" s="151"/>
      <c r="F234" s="151"/>
      <c r="G234" s="151"/>
      <c r="H234" s="151"/>
    </row>
    <row r="235" ht="12.0" customHeight="1">
      <c r="E235" s="151"/>
      <c r="F235" s="151"/>
      <c r="G235" s="151"/>
      <c r="H235" s="151"/>
    </row>
    <row r="236" ht="12.0" customHeight="1">
      <c r="E236" s="151"/>
      <c r="F236" s="151"/>
      <c r="G236" s="151"/>
      <c r="H236" s="151"/>
    </row>
    <row r="237" ht="12.0" customHeight="1">
      <c r="E237" s="151"/>
      <c r="F237" s="151"/>
      <c r="G237" s="151"/>
      <c r="H237" s="151"/>
    </row>
    <row r="238" ht="12.0" customHeight="1">
      <c r="E238" s="151"/>
      <c r="F238" s="151"/>
      <c r="G238" s="151"/>
      <c r="H238" s="151"/>
    </row>
    <row r="239" ht="12.0" customHeight="1">
      <c r="E239" s="151"/>
      <c r="F239" s="151"/>
      <c r="G239" s="151"/>
      <c r="H239" s="151"/>
    </row>
    <row r="240" ht="12.0" customHeight="1">
      <c r="E240" s="151"/>
      <c r="F240" s="151"/>
      <c r="G240" s="151"/>
      <c r="H240" s="151"/>
    </row>
    <row r="241" ht="12.0" customHeight="1">
      <c r="E241" s="151"/>
      <c r="F241" s="151"/>
      <c r="G241" s="151"/>
      <c r="H241" s="151"/>
    </row>
    <row r="242" ht="12.0" customHeight="1">
      <c r="E242" s="151"/>
      <c r="F242" s="151"/>
      <c r="G242" s="151"/>
      <c r="H242" s="151"/>
    </row>
    <row r="243" ht="12.0" customHeight="1">
      <c r="E243" s="151"/>
      <c r="F243" s="151"/>
      <c r="G243" s="151"/>
      <c r="H243" s="151"/>
    </row>
    <row r="244" ht="12.0" customHeight="1">
      <c r="E244" s="151"/>
      <c r="F244" s="151"/>
      <c r="G244" s="151"/>
      <c r="H244" s="151"/>
    </row>
    <row r="245" ht="12.0" customHeight="1">
      <c r="E245" s="151"/>
      <c r="F245" s="151"/>
      <c r="G245" s="151"/>
      <c r="H245" s="151"/>
    </row>
    <row r="246" ht="12.0" customHeight="1">
      <c r="E246" s="151"/>
      <c r="F246" s="151"/>
      <c r="G246" s="151"/>
      <c r="H246" s="151"/>
    </row>
    <row r="247" ht="12.0" customHeight="1">
      <c r="E247" s="151"/>
      <c r="F247" s="151"/>
      <c r="G247" s="151"/>
      <c r="H247" s="151"/>
    </row>
    <row r="248" ht="12.0" customHeight="1">
      <c r="E248" s="151"/>
      <c r="F248" s="151"/>
      <c r="G248" s="151"/>
      <c r="H248" s="151"/>
    </row>
    <row r="249" ht="12.0" customHeight="1">
      <c r="E249" s="151"/>
      <c r="F249" s="151"/>
      <c r="G249" s="151"/>
      <c r="H249" s="151"/>
    </row>
    <row r="250" ht="12.0" customHeight="1">
      <c r="E250" s="151"/>
      <c r="F250" s="151"/>
      <c r="G250" s="151"/>
      <c r="H250" s="151"/>
    </row>
    <row r="251" ht="12.0" customHeight="1">
      <c r="E251" s="151"/>
      <c r="F251" s="151"/>
      <c r="G251" s="151"/>
      <c r="H251" s="151"/>
    </row>
    <row r="252" ht="12.0" customHeight="1">
      <c r="E252" s="151"/>
      <c r="F252" s="151"/>
      <c r="G252" s="151"/>
      <c r="H252" s="151"/>
    </row>
    <row r="253" ht="12.0" customHeight="1">
      <c r="E253" s="151"/>
      <c r="F253" s="151"/>
      <c r="G253" s="151"/>
      <c r="H253" s="151"/>
    </row>
    <row r="254" ht="12.0" customHeight="1">
      <c r="E254" s="151"/>
      <c r="F254" s="151"/>
      <c r="G254" s="151"/>
      <c r="H254" s="151"/>
    </row>
    <row r="255" ht="12.0" customHeight="1">
      <c r="E255" s="151"/>
      <c r="F255" s="151"/>
      <c r="G255" s="151"/>
      <c r="H255" s="151"/>
    </row>
    <row r="256" ht="12.0" customHeight="1">
      <c r="E256" s="151"/>
      <c r="F256" s="151"/>
      <c r="G256" s="151"/>
      <c r="H256" s="151"/>
    </row>
    <row r="257" ht="12.0" customHeight="1">
      <c r="E257" s="151"/>
      <c r="F257" s="151"/>
      <c r="G257" s="151"/>
      <c r="H257" s="151"/>
    </row>
    <row r="258" ht="12.0" customHeight="1">
      <c r="E258" s="151"/>
      <c r="F258" s="151"/>
      <c r="G258" s="151"/>
      <c r="H258" s="151"/>
    </row>
    <row r="259" ht="12.0" customHeight="1">
      <c r="E259" s="151"/>
      <c r="F259" s="151"/>
      <c r="G259" s="151"/>
      <c r="H259" s="151"/>
    </row>
    <row r="260" ht="12.0" customHeight="1">
      <c r="E260" s="151"/>
      <c r="F260" s="151"/>
      <c r="G260" s="151"/>
      <c r="H260" s="151"/>
    </row>
    <row r="261" ht="12.0" customHeight="1">
      <c r="E261" s="151"/>
      <c r="F261" s="151"/>
      <c r="G261" s="151"/>
      <c r="H261" s="151"/>
    </row>
    <row r="262" ht="12.0" customHeight="1">
      <c r="E262" s="151"/>
      <c r="F262" s="151"/>
      <c r="G262" s="151"/>
      <c r="H262" s="151"/>
    </row>
    <row r="263" ht="12.0" customHeight="1">
      <c r="E263" s="151"/>
      <c r="F263" s="151"/>
      <c r="G263" s="151"/>
      <c r="H263" s="151"/>
    </row>
    <row r="264" ht="12.0" customHeight="1">
      <c r="E264" s="151"/>
      <c r="F264" s="151"/>
      <c r="G264" s="151"/>
      <c r="H264" s="151"/>
    </row>
    <row r="265" ht="12.0" customHeight="1">
      <c r="E265" s="151"/>
      <c r="F265" s="151"/>
      <c r="G265" s="151"/>
      <c r="H265" s="151"/>
    </row>
    <row r="266" ht="12.0" customHeight="1">
      <c r="E266" s="151"/>
      <c r="F266" s="151"/>
      <c r="G266" s="151"/>
      <c r="H266" s="151"/>
    </row>
    <row r="267" ht="12.0" customHeight="1">
      <c r="E267" s="151"/>
      <c r="F267" s="151"/>
      <c r="G267" s="151"/>
      <c r="H267" s="151"/>
    </row>
    <row r="268" ht="12.0" customHeight="1">
      <c r="E268" s="151"/>
      <c r="F268" s="151"/>
      <c r="G268" s="151"/>
      <c r="H268" s="151"/>
    </row>
    <row r="269" ht="12.0" customHeight="1">
      <c r="E269" s="151"/>
      <c r="F269" s="151"/>
      <c r="G269" s="151"/>
      <c r="H269" s="151"/>
    </row>
    <row r="270" ht="12.0" customHeight="1">
      <c r="E270" s="151"/>
      <c r="F270" s="151"/>
      <c r="G270" s="151"/>
      <c r="H270" s="151"/>
    </row>
    <row r="271" ht="12.0" customHeight="1">
      <c r="E271" s="151"/>
      <c r="F271" s="151"/>
      <c r="G271" s="151"/>
      <c r="H271" s="151"/>
    </row>
    <row r="272" ht="12.0" customHeight="1">
      <c r="E272" s="151"/>
      <c r="F272" s="151"/>
      <c r="G272" s="151"/>
      <c r="H272" s="151"/>
    </row>
    <row r="273" ht="12.0" customHeight="1">
      <c r="E273" s="151"/>
      <c r="F273" s="151"/>
      <c r="G273" s="151"/>
      <c r="H273" s="151"/>
    </row>
    <row r="274" ht="12.0" customHeight="1">
      <c r="E274" s="151"/>
      <c r="F274" s="151"/>
      <c r="G274" s="151"/>
      <c r="H274" s="151"/>
    </row>
    <row r="275" ht="12.0" customHeight="1">
      <c r="E275" s="151"/>
      <c r="F275" s="151"/>
      <c r="G275" s="151"/>
      <c r="H275" s="151"/>
    </row>
    <row r="276" ht="12.0" customHeight="1">
      <c r="E276" s="151"/>
      <c r="F276" s="151"/>
      <c r="G276" s="151"/>
      <c r="H276" s="151"/>
    </row>
    <row r="277" ht="12.0" customHeight="1">
      <c r="E277" s="151"/>
      <c r="F277" s="151"/>
      <c r="G277" s="151"/>
      <c r="H277" s="151"/>
    </row>
    <row r="278" ht="12.0" customHeight="1">
      <c r="E278" s="151"/>
      <c r="F278" s="151"/>
      <c r="G278" s="151"/>
      <c r="H278" s="151"/>
    </row>
    <row r="279" ht="12.0" customHeight="1">
      <c r="E279" s="151"/>
      <c r="F279" s="151"/>
      <c r="G279" s="151"/>
      <c r="H279" s="151"/>
    </row>
    <row r="280" ht="12.0" customHeight="1">
      <c r="E280" s="151"/>
      <c r="F280" s="151"/>
      <c r="G280" s="151"/>
      <c r="H280" s="151"/>
    </row>
    <row r="281" ht="12.0" customHeight="1">
      <c r="E281" s="151"/>
      <c r="F281" s="151"/>
      <c r="G281" s="151"/>
      <c r="H281" s="151"/>
    </row>
    <row r="282" ht="12.0" customHeight="1">
      <c r="E282" s="151"/>
      <c r="F282" s="151"/>
      <c r="G282" s="151"/>
      <c r="H282" s="151"/>
    </row>
    <row r="283" ht="12.0" customHeight="1">
      <c r="E283" s="151"/>
      <c r="F283" s="151"/>
      <c r="G283" s="151"/>
      <c r="H283" s="151"/>
    </row>
    <row r="284" ht="12.0" customHeight="1">
      <c r="E284" s="151"/>
      <c r="F284" s="151"/>
      <c r="G284" s="151"/>
      <c r="H284" s="151"/>
    </row>
    <row r="285" ht="12.0" customHeight="1">
      <c r="E285" s="151"/>
      <c r="F285" s="151"/>
      <c r="G285" s="151"/>
      <c r="H285" s="151"/>
    </row>
    <row r="286" ht="12.0" customHeight="1">
      <c r="E286" s="151"/>
      <c r="F286" s="151"/>
      <c r="G286" s="151"/>
      <c r="H286" s="151"/>
    </row>
    <row r="287" ht="12.0" customHeight="1">
      <c r="E287" s="151"/>
      <c r="F287" s="151"/>
      <c r="G287" s="151"/>
      <c r="H287" s="151"/>
    </row>
    <row r="288" ht="12.0" customHeight="1">
      <c r="E288" s="151"/>
      <c r="F288" s="151"/>
      <c r="G288" s="151"/>
      <c r="H288" s="151"/>
    </row>
    <row r="289" ht="12.0" customHeight="1">
      <c r="E289" s="151"/>
      <c r="F289" s="151"/>
      <c r="G289" s="151"/>
      <c r="H289" s="151"/>
    </row>
    <row r="290" ht="12.0" customHeight="1">
      <c r="E290" s="151"/>
      <c r="F290" s="151"/>
      <c r="G290" s="151"/>
      <c r="H290" s="151"/>
    </row>
    <row r="291" ht="12.0" customHeight="1">
      <c r="E291" s="151"/>
      <c r="F291" s="151"/>
      <c r="G291" s="151"/>
      <c r="H291" s="151"/>
    </row>
    <row r="292" ht="12.0" customHeight="1">
      <c r="E292" s="151"/>
      <c r="F292" s="151"/>
      <c r="G292" s="151"/>
      <c r="H292" s="151"/>
    </row>
    <row r="293" ht="12.0" customHeight="1">
      <c r="E293" s="151"/>
      <c r="F293" s="151"/>
      <c r="G293" s="151"/>
      <c r="H293" s="151"/>
    </row>
    <row r="294" ht="12.0" customHeight="1">
      <c r="E294" s="151"/>
      <c r="F294" s="151"/>
      <c r="G294" s="151"/>
      <c r="H294" s="151"/>
    </row>
    <row r="295" ht="12.0" customHeight="1">
      <c r="E295" s="151"/>
      <c r="F295" s="151"/>
      <c r="G295" s="151"/>
      <c r="H295" s="151"/>
    </row>
    <row r="296" ht="12.0" customHeight="1">
      <c r="E296" s="151"/>
      <c r="F296" s="151"/>
      <c r="G296" s="151"/>
      <c r="H296" s="151"/>
    </row>
    <row r="297" ht="12.0" customHeight="1">
      <c r="E297" s="151"/>
      <c r="F297" s="151"/>
      <c r="G297" s="151"/>
      <c r="H297" s="151"/>
    </row>
    <row r="298" ht="12.0" customHeight="1">
      <c r="E298" s="151"/>
      <c r="F298" s="151"/>
      <c r="G298" s="151"/>
      <c r="H298" s="151"/>
    </row>
    <row r="299" ht="12.0" customHeight="1">
      <c r="E299" s="151"/>
      <c r="F299" s="151"/>
      <c r="G299" s="151"/>
      <c r="H299" s="151"/>
    </row>
    <row r="300" ht="12.0" customHeight="1">
      <c r="E300" s="151"/>
      <c r="F300" s="151"/>
      <c r="G300" s="151"/>
      <c r="H300" s="151"/>
    </row>
    <row r="301" ht="12.0" customHeight="1">
      <c r="E301" s="151"/>
      <c r="F301" s="151"/>
      <c r="G301" s="151"/>
      <c r="H301" s="151"/>
    </row>
    <row r="302" ht="12.0" customHeight="1">
      <c r="E302" s="151"/>
      <c r="F302" s="151"/>
      <c r="G302" s="151"/>
      <c r="H302" s="151"/>
    </row>
    <row r="303" ht="12.0" customHeight="1">
      <c r="E303" s="151"/>
      <c r="F303" s="151"/>
      <c r="G303" s="151"/>
      <c r="H303" s="151"/>
    </row>
    <row r="304" ht="12.0" customHeight="1">
      <c r="E304" s="151"/>
      <c r="F304" s="151"/>
      <c r="G304" s="151"/>
      <c r="H304" s="151"/>
    </row>
    <row r="305" ht="12.0" customHeight="1">
      <c r="E305" s="151"/>
      <c r="F305" s="151"/>
      <c r="G305" s="151"/>
      <c r="H305" s="151"/>
    </row>
    <row r="306" ht="12.0" customHeight="1">
      <c r="E306" s="151"/>
      <c r="F306" s="151"/>
      <c r="G306" s="151"/>
      <c r="H306" s="151"/>
    </row>
    <row r="307" ht="12.0" customHeight="1">
      <c r="E307" s="151"/>
      <c r="F307" s="151"/>
      <c r="G307" s="151"/>
      <c r="H307" s="151"/>
    </row>
    <row r="308" ht="12.0" customHeight="1">
      <c r="E308" s="151"/>
      <c r="F308" s="151"/>
      <c r="G308" s="151"/>
      <c r="H308" s="151"/>
    </row>
    <row r="309" ht="12.0" customHeight="1">
      <c r="E309" s="151"/>
      <c r="F309" s="151"/>
      <c r="G309" s="151"/>
      <c r="H309" s="151"/>
    </row>
    <row r="310" ht="12.0" customHeight="1">
      <c r="E310" s="151"/>
      <c r="F310" s="151"/>
      <c r="G310" s="151"/>
      <c r="H310" s="151"/>
    </row>
    <row r="311" ht="12.0" customHeight="1">
      <c r="E311" s="151"/>
      <c r="F311" s="151"/>
      <c r="G311" s="151"/>
      <c r="H311" s="151"/>
    </row>
    <row r="312" ht="12.0" customHeight="1">
      <c r="E312" s="151"/>
      <c r="F312" s="151"/>
      <c r="G312" s="151"/>
      <c r="H312" s="151"/>
    </row>
    <row r="313" ht="12.0" customHeight="1">
      <c r="E313" s="151"/>
      <c r="F313" s="151"/>
      <c r="G313" s="151"/>
      <c r="H313" s="151"/>
    </row>
    <row r="314" ht="12.0" customHeight="1">
      <c r="E314" s="151"/>
      <c r="F314" s="151"/>
      <c r="G314" s="151"/>
      <c r="H314" s="151"/>
    </row>
    <row r="315" ht="12.0" customHeight="1">
      <c r="E315" s="151"/>
      <c r="F315" s="151"/>
      <c r="G315" s="151"/>
      <c r="H315" s="151"/>
    </row>
    <row r="316" ht="12.0" customHeight="1">
      <c r="E316" s="151"/>
      <c r="F316" s="151"/>
      <c r="G316" s="151"/>
      <c r="H316" s="151"/>
    </row>
    <row r="317" ht="12.0" customHeight="1">
      <c r="E317" s="151"/>
      <c r="F317" s="151"/>
      <c r="G317" s="151"/>
      <c r="H317" s="151"/>
    </row>
    <row r="318" ht="12.0" customHeight="1">
      <c r="E318" s="151"/>
      <c r="F318" s="151"/>
      <c r="G318" s="151"/>
      <c r="H318" s="151"/>
    </row>
    <row r="319" ht="12.0" customHeight="1">
      <c r="E319" s="151"/>
      <c r="F319" s="151"/>
      <c r="G319" s="151"/>
      <c r="H319" s="151"/>
    </row>
    <row r="320" ht="12.0" customHeight="1">
      <c r="E320" s="151"/>
      <c r="F320" s="151"/>
      <c r="G320" s="151"/>
      <c r="H320" s="151"/>
    </row>
    <row r="321" ht="12.0" customHeight="1">
      <c r="E321" s="151"/>
      <c r="F321" s="151"/>
      <c r="G321" s="151"/>
      <c r="H321" s="151"/>
    </row>
    <row r="322" ht="12.0" customHeight="1">
      <c r="E322" s="151"/>
      <c r="F322" s="151"/>
      <c r="G322" s="151"/>
      <c r="H322" s="151"/>
    </row>
    <row r="323" ht="12.0" customHeight="1">
      <c r="E323" s="151"/>
      <c r="F323" s="151"/>
      <c r="G323" s="151"/>
      <c r="H323" s="151"/>
    </row>
    <row r="324" ht="12.0" customHeight="1">
      <c r="E324" s="151"/>
      <c r="F324" s="151"/>
      <c r="G324" s="151"/>
      <c r="H324" s="151"/>
    </row>
    <row r="325" ht="12.0" customHeight="1">
      <c r="E325" s="151"/>
      <c r="F325" s="151"/>
      <c r="G325" s="151"/>
      <c r="H325" s="151"/>
    </row>
    <row r="326" ht="12.0" customHeight="1">
      <c r="E326" s="151"/>
      <c r="F326" s="151"/>
      <c r="G326" s="151"/>
      <c r="H326" s="151"/>
    </row>
    <row r="327" ht="12.0" customHeight="1">
      <c r="E327" s="151"/>
      <c r="F327" s="151"/>
      <c r="G327" s="151"/>
      <c r="H327" s="151"/>
    </row>
    <row r="328" ht="12.0" customHeight="1">
      <c r="E328" s="151"/>
      <c r="F328" s="151"/>
      <c r="G328" s="151"/>
      <c r="H328" s="151"/>
    </row>
    <row r="329" ht="12.0" customHeight="1">
      <c r="E329" s="151"/>
      <c r="F329" s="151"/>
      <c r="G329" s="151"/>
      <c r="H329" s="151"/>
    </row>
    <row r="330" ht="12.0" customHeight="1">
      <c r="E330" s="151"/>
      <c r="F330" s="151"/>
      <c r="G330" s="151"/>
      <c r="H330" s="151"/>
    </row>
    <row r="331" ht="12.0" customHeight="1">
      <c r="E331" s="151"/>
      <c r="F331" s="151"/>
      <c r="G331" s="151"/>
      <c r="H331" s="151"/>
    </row>
    <row r="332" ht="12.0" customHeight="1">
      <c r="E332" s="151"/>
      <c r="F332" s="151"/>
      <c r="G332" s="151"/>
      <c r="H332" s="151"/>
    </row>
    <row r="333" ht="12.0" customHeight="1">
      <c r="E333" s="151"/>
      <c r="F333" s="151"/>
      <c r="G333" s="151"/>
      <c r="H333" s="151"/>
    </row>
    <row r="334" ht="12.0" customHeight="1">
      <c r="E334" s="151"/>
      <c r="F334" s="151"/>
      <c r="G334" s="151"/>
      <c r="H334" s="151"/>
    </row>
    <row r="335" ht="12.0" customHeight="1">
      <c r="E335" s="151"/>
      <c r="F335" s="151"/>
      <c r="G335" s="151"/>
      <c r="H335" s="151"/>
    </row>
    <row r="336" ht="12.0" customHeight="1">
      <c r="E336" s="151"/>
      <c r="F336" s="151"/>
      <c r="G336" s="151"/>
      <c r="H336" s="151"/>
    </row>
    <row r="337" ht="12.0" customHeight="1">
      <c r="E337" s="151"/>
      <c r="F337" s="151"/>
      <c r="G337" s="151"/>
      <c r="H337" s="151"/>
    </row>
    <row r="338" ht="12.0" customHeight="1">
      <c r="E338" s="151"/>
      <c r="F338" s="151"/>
      <c r="G338" s="151"/>
      <c r="H338" s="151"/>
    </row>
    <row r="339" ht="12.0" customHeight="1">
      <c r="E339" s="151"/>
      <c r="F339" s="151"/>
      <c r="G339" s="151"/>
      <c r="H339" s="151"/>
    </row>
    <row r="340" ht="12.0" customHeight="1">
      <c r="E340" s="151"/>
      <c r="F340" s="151"/>
      <c r="G340" s="151"/>
      <c r="H340" s="151"/>
    </row>
    <row r="341" ht="12.0" customHeight="1">
      <c r="E341" s="151"/>
      <c r="F341" s="151"/>
      <c r="G341" s="151"/>
      <c r="H341" s="151"/>
    </row>
    <row r="342" ht="12.0" customHeight="1">
      <c r="E342" s="151"/>
      <c r="F342" s="151"/>
      <c r="G342" s="151"/>
      <c r="H342" s="151"/>
    </row>
    <row r="343" ht="12.0" customHeight="1">
      <c r="E343" s="151"/>
      <c r="F343" s="151"/>
      <c r="G343" s="151"/>
      <c r="H343" s="151"/>
    </row>
    <row r="344" ht="12.0" customHeight="1">
      <c r="E344" s="151"/>
      <c r="F344" s="151"/>
      <c r="G344" s="151"/>
      <c r="H344" s="151"/>
    </row>
    <row r="345" ht="12.0" customHeight="1">
      <c r="E345" s="151"/>
      <c r="F345" s="151"/>
      <c r="G345" s="151"/>
      <c r="H345" s="151"/>
    </row>
    <row r="346" ht="12.0" customHeight="1">
      <c r="E346" s="151"/>
      <c r="F346" s="151"/>
      <c r="G346" s="151"/>
      <c r="H346" s="151"/>
    </row>
    <row r="347" ht="12.0" customHeight="1">
      <c r="E347" s="151"/>
      <c r="F347" s="151"/>
      <c r="G347" s="151"/>
      <c r="H347" s="151"/>
    </row>
    <row r="348" ht="12.0" customHeight="1">
      <c r="E348" s="151"/>
      <c r="F348" s="151"/>
      <c r="G348" s="151"/>
      <c r="H348" s="151"/>
    </row>
    <row r="349" ht="12.0" customHeight="1">
      <c r="E349" s="151"/>
      <c r="F349" s="151"/>
      <c r="G349" s="151"/>
      <c r="H349" s="151"/>
    </row>
    <row r="350" ht="12.0" customHeight="1">
      <c r="E350" s="151"/>
      <c r="F350" s="151"/>
      <c r="G350" s="151"/>
      <c r="H350" s="151"/>
    </row>
    <row r="351" ht="12.0" customHeight="1">
      <c r="E351" s="151"/>
      <c r="F351" s="151"/>
      <c r="G351" s="151"/>
      <c r="H351" s="151"/>
    </row>
    <row r="352" ht="12.0" customHeight="1">
      <c r="E352" s="151"/>
      <c r="F352" s="151"/>
      <c r="G352" s="151"/>
      <c r="H352" s="151"/>
    </row>
    <row r="353" ht="12.0" customHeight="1">
      <c r="E353" s="151"/>
      <c r="F353" s="151"/>
      <c r="G353" s="151"/>
      <c r="H353" s="151"/>
    </row>
    <row r="354" ht="12.0" customHeight="1">
      <c r="E354" s="151"/>
      <c r="F354" s="151"/>
      <c r="G354" s="151"/>
      <c r="H354" s="151"/>
    </row>
    <row r="355" ht="12.0" customHeight="1">
      <c r="E355" s="151"/>
      <c r="F355" s="151"/>
      <c r="G355" s="151"/>
      <c r="H355" s="151"/>
    </row>
    <row r="356" ht="12.0" customHeight="1">
      <c r="E356" s="151"/>
      <c r="F356" s="151"/>
      <c r="G356" s="151"/>
      <c r="H356" s="151"/>
    </row>
    <row r="357" ht="12.0" customHeight="1">
      <c r="E357" s="151"/>
      <c r="F357" s="151"/>
      <c r="G357" s="151"/>
      <c r="H357" s="151"/>
    </row>
    <row r="358" ht="12.0" customHeight="1">
      <c r="E358" s="151"/>
      <c r="F358" s="151"/>
      <c r="G358" s="151"/>
      <c r="H358" s="151"/>
    </row>
    <row r="359" ht="12.0" customHeight="1">
      <c r="E359" s="151"/>
      <c r="F359" s="151"/>
      <c r="G359" s="151"/>
      <c r="H359" s="151"/>
    </row>
    <row r="360" ht="12.0" customHeight="1">
      <c r="E360" s="151"/>
      <c r="F360" s="151"/>
      <c r="G360" s="151"/>
      <c r="H360" s="151"/>
    </row>
    <row r="361" ht="12.0" customHeight="1">
      <c r="E361" s="151"/>
      <c r="F361" s="151"/>
      <c r="G361" s="151"/>
      <c r="H361" s="151"/>
    </row>
    <row r="362" ht="12.0" customHeight="1">
      <c r="E362" s="151"/>
      <c r="F362" s="151"/>
      <c r="G362" s="151"/>
      <c r="H362" s="151"/>
    </row>
    <row r="363" ht="12.0" customHeight="1">
      <c r="E363" s="151"/>
      <c r="F363" s="151"/>
      <c r="G363" s="151"/>
      <c r="H363" s="151"/>
    </row>
    <row r="364" ht="12.0" customHeight="1">
      <c r="E364" s="151"/>
      <c r="F364" s="151"/>
      <c r="G364" s="151"/>
      <c r="H364" s="151"/>
    </row>
    <row r="365" ht="12.0" customHeight="1">
      <c r="E365" s="151"/>
      <c r="F365" s="151"/>
      <c r="G365" s="151"/>
      <c r="H365" s="151"/>
    </row>
    <row r="366" ht="12.0" customHeight="1">
      <c r="E366" s="151"/>
      <c r="F366" s="151"/>
      <c r="G366" s="151"/>
      <c r="H366" s="151"/>
    </row>
    <row r="367" ht="12.0" customHeight="1">
      <c r="E367" s="151"/>
      <c r="F367" s="151"/>
      <c r="G367" s="151"/>
      <c r="H367" s="151"/>
    </row>
    <row r="368" ht="12.0" customHeight="1">
      <c r="E368" s="151"/>
      <c r="F368" s="151"/>
      <c r="G368" s="151"/>
      <c r="H368" s="151"/>
    </row>
    <row r="369" ht="12.0" customHeight="1">
      <c r="E369" s="151"/>
      <c r="F369" s="151"/>
      <c r="G369" s="151"/>
      <c r="H369" s="151"/>
    </row>
    <row r="370" ht="12.0" customHeight="1">
      <c r="E370" s="151"/>
      <c r="F370" s="151"/>
      <c r="G370" s="151"/>
      <c r="H370" s="151"/>
    </row>
    <row r="371" ht="12.0" customHeight="1">
      <c r="E371" s="151"/>
      <c r="F371" s="151"/>
      <c r="G371" s="151"/>
      <c r="H371" s="151"/>
    </row>
    <row r="372" ht="12.0" customHeight="1">
      <c r="E372" s="151"/>
      <c r="F372" s="151"/>
      <c r="G372" s="151"/>
      <c r="H372" s="151"/>
    </row>
    <row r="373" ht="12.0" customHeight="1">
      <c r="E373" s="151"/>
      <c r="F373" s="151"/>
      <c r="G373" s="151"/>
      <c r="H373" s="151"/>
    </row>
    <row r="374" ht="12.0" customHeight="1">
      <c r="E374" s="151"/>
      <c r="F374" s="151"/>
      <c r="G374" s="151"/>
      <c r="H374" s="151"/>
    </row>
    <row r="375" ht="12.0" customHeight="1">
      <c r="E375" s="151"/>
      <c r="F375" s="151"/>
      <c r="G375" s="151"/>
      <c r="H375" s="151"/>
    </row>
    <row r="376" ht="12.0" customHeight="1">
      <c r="E376" s="151"/>
      <c r="F376" s="151"/>
      <c r="G376" s="151"/>
      <c r="H376" s="151"/>
    </row>
    <row r="377" ht="12.0" customHeight="1">
      <c r="E377" s="151"/>
      <c r="F377" s="151"/>
      <c r="G377" s="151"/>
      <c r="H377" s="151"/>
    </row>
    <row r="378" ht="12.0" customHeight="1">
      <c r="E378" s="151"/>
      <c r="F378" s="151"/>
      <c r="G378" s="151"/>
      <c r="H378" s="151"/>
    </row>
    <row r="379" ht="12.0" customHeight="1">
      <c r="E379" s="151"/>
      <c r="F379" s="151"/>
      <c r="G379" s="151"/>
      <c r="H379" s="151"/>
    </row>
    <row r="380" ht="12.0" customHeight="1">
      <c r="E380" s="151"/>
      <c r="F380" s="151"/>
      <c r="G380" s="151"/>
      <c r="H380" s="151"/>
    </row>
    <row r="381" ht="12.0" customHeight="1">
      <c r="E381" s="151"/>
      <c r="F381" s="151"/>
      <c r="G381" s="151"/>
      <c r="H381" s="151"/>
    </row>
    <row r="382" ht="12.0" customHeight="1">
      <c r="E382" s="151"/>
      <c r="F382" s="151"/>
      <c r="G382" s="151"/>
      <c r="H382" s="151"/>
    </row>
    <row r="383" ht="12.0" customHeight="1">
      <c r="E383" s="151"/>
      <c r="F383" s="151"/>
      <c r="G383" s="151"/>
      <c r="H383" s="151"/>
    </row>
    <row r="384" ht="12.0" customHeight="1">
      <c r="E384" s="151"/>
      <c r="F384" s="151"/>
      <c r="G384" s="151"/>
      <c r="H384" s="151"/>
    </row>
    <row r="385" ht="12.0" customHeight="1">
      <c r="E385" s="151"/>
      <c r="F385" s="151"/>
      <c r="G385" s="151"/>
      <c r="H385" s="151"/>
    </row>
    <row r="386" ht="12.0" customHeight="1">
      <c r="E386" s="151"/>
      <c r="F386" s="151"/>
      <c r="G386" s="151"/>
      <c r="H386" s="151"/>
    </row>
    <row r="387" ht="12.0" customHeight="1">
      <c r="E387" s="151"/>
      <c r="F387" s="151"/>
      <c r="G387" s="151"/>
      <c r="H387" s="151"/>
    </row>
    <row r="388" ht="12.0" customHeight="1">
      <c r="E388" s="151"/>
      <c r="F388" s="151"/>
      <c r="G388" s="151"/>
      <c r="H388" s="151"/>
    </row>
    <row r="389" ht="12.0" customHeight="1">
      <c r="E389" s="151"/>
      <c r="F389" s="151"/>
      <c r="G389" s="151"/>
      <c r="H389" s="151"/>
    </row>
    <row r="390" ht="12.0" customHeight="1">
      <c r="E390" s="151"/>
      <c r="F390" s="151"/>
      <c r="G390" s="151"/>
      <c r="H390" s="151"/>
    </row>
    <row r="391" ht="12.0" customHeight="1">
      <c r="E391" s="151"/>
      <c r="F391" s="151"/>
      <c r="G391" s="151"/>
      <c r="H391" s="151"/>
    </row>
    <row r="392" ht="12.0" customHeight="1">
      <c r="E392" s="151"/>
      <c r="F392" s="151"/>
      <c r="G392" s="151"/>
      <c r="H392" s="151"/>
    </row>
    <row r="393" ht="12.0" customHeight="1">
      <c r="E393" s="151"/>
      <c r="F393" s="151"/>
      <c r="G393" s="151"/>
      <c r="H393" s="151"/>
    </row>
    <row r="394" ht="12.0" customHeight="1">
      <c r="E394" s="151"/>
      <c r="F394" s="151"/>
      <c r="G394" s="151"/>
      <c r="H394" s="151"/>
    </row>
    <row r="395" ht="12.0" customHeight="1">
      <c r="E395" s="151"/>
      <c r="F395" s="151"/>
      <c r="G395" s="151"/>
      <c r="H395" s="151"/>
    </row>
    <row r="396" ht="12.0" customHeight="1">
      <c r="E396" s="151"/>
      <c r="F396" s="151"/>
      <c r="G396" s="151"/>
      <c r="H396" s="151"/>
    </row>
    <row r="397" ht="12.0" customHeight="1">
      <c r="E397" s="151"/>
      <c r="F397" s="151"/>
      <c r="G397" s="151"/>
      <c r="H397" s="151"/>
    </row>
    <row r="398" ht="12.0" customHeight="1">
      <c r="E398" s="151"/>
      <c r="F398" s="151"/>
      <c r="G398" s="151"/>
      <c r="H398" s="151"/>
    </row>
    <row r="399" ht="12.0" customHeight="1">
      <c r="E399" s="151"/>
      <c r="F399" s="151"/>
      <c r="G399" s="151"/>
      <c r="H399" s="151"/>
    </row>
    <row r="400" ht="12.0" customHeight="1">
      <c r="E400" s="151"/>
      <c r="F400" s="151"/>
      <c r="G400" s="151"/>
      <c r="H400" s="151"/>
    </row>
    <row r="401" ht="12.0" customHeight="1">
      <c r="E401" s="151"/>
      <c r="F401" s="151"/>
      <c r="G401" s="151"/>
      <c r="H401" s="151"/>
    </row>
    <row r="402" ht="12.0" customHeight="1">
      <c r="E402" s="151"/>
      <c r="F402" s="151"/>
      <c r="G402" s="151"/>
      <c r="H402" s="151"/>
    </row>
    <row r="403" ht="12.0" customHeight="1">
      <c r="E403" s="151"/>
      <c r="F403" s="151"/>
      <c r="G403" s="151"/>
      <c r="H403" s="151"/>
    </row>
    <row r="404" ht="12.0" customHeight="1">
      <c r="E404" s="151"/>
      <c r="F404" s="151"/>
      <c r="G404" s="151"/>
      <c r="H404" s="151"/>
    </row>
    <row r="405" ht="12.0" customHeight="1">
      <c r="E405" s="151"/>
      <c r="F405" s="151"/>
      <c r="G405" s="151"/>
      <c r="H405" s="151"/>
    </row>
    <row r="406" ht="12.0" customHeight="1">
      <c r="E406" s="151"/>
      <c r="F406" s="151"/>
      <c r="G406" s="151"/>
      <c r="H406" s="151"/>
    </row>
    <row r="407" ht="12.0" customHeight="1">
      <c r="E407" s="151"/>
      <c r="F407" s="151"/>
      <c r="G407" s="151"/>
      <c r="H407" s="151"/>
    </row>
    <row r="408" ht="12.0" customHeight="1">
      <c r="E408" s="151"/>
      <c r="F408" s="151"/>
      <c r="G408" s="151"/>
      <c r="H408" s="151"/>
    </row>
    <row r="409" ht="12.0" customHeight="1">
      <c r="E409" s="151"/>
      <c r="F409" s="151"/>
      <c r="G409" s="151"/>
      <c r="H409" s="151"/>
    </row>
    <row r="410" ht="12.0" customHeight="1">
      <c r="E410" s="151"/>
      <c r="F410" s="151"/>
      <c r="G410" s="151"/>
      <c r="H410" s="151"/>
    </row>
    <row r="411" ht="12.0" customHeight="1">
      <c r="E411" s="151"/>
      <c r="F411" s="151"/>
      <c r="G411" s="151"/>
      <c r="H411" s="151"/>
    </row>
    <row r="412" ht="12.0" customHeight="1">
      <c r="E412" s="151"/>
      <c r="F412" s="151"/>
      <c r="G412" s="151"/>
      <c r="H412" s="151"/>
    </row>
    <row r="413" ht="12.0" customHeight="1">
      <c r="E413" s="151"/>
      <c r="F413" s="151"/>
      <c r="G413" s="151"/>
      <c r="H413" s="151"/>
    </row>
    <row r="414" ht="12.0" customHeight="1">
      <c r="E414" s="151"/>
      <c r="F414" s="151"/>
      <c r="G414" s="151"/>
      <c r="H414" s="151"/>
    </row>
    <row r="415" ht="12.0" customHeight="1">
      <c r="E415" s="151"/>
      <c r="F415" s="151"/>
      <c r="G415" s="151"/>
      <c r="H415" s="151"/>
    </row>
    <row r="416" ht="12.0" customHeight="1">
      <c r="E416" s="151"/>
      <c r="F416" s="151"/>
      <c r="G416" s="151"/>
      <c r="H416" s="151"/>
    </row>
    <row r="417" ht="12.0" customHeight="1">
      <c r="E417" s="151"/>
      <c r="F417" s="151"/>
      <c r="G417" s="151"/>
      <c r="H417" s="151"/>
    </row>
    <row r="418" ht="12.0" customHeight="1">
      <c r="E418" s="151"/>
      <c r="F418" s="151"/>
      <c r="G418" s="151"/>
      <c r="H418" s="151"/>
    </row>
    <row r="419" ht="12.0" customHeight="1">
      <c r="E419" s="151"/>
      <c r="F419" s="151"/>
      <c r="G419" s="151"/>
      <c r="H419" s="151"/>
    </row>
    <row r="420" ht="12.0" customHeight="1">
      <c r="E420" s="151"/>
      <c r="F420" s="151"/>
      <c r="G420" s="151"/>
      <c r="H420" s="151"/>
    </row>
    <row r="421" ht="12.0" customHeight="1">
      <c r="E421" s="151"/>
      <c r="F421" s="151"/>
      <c r="G421" s="151"/>
      <c r="H421" s="151"/>
    </row>
    <row r="422" ht="12.0" customHeight="1">
      <c r="E422" s="151"/>
      <c r="F422" s="151"/>
      <c r="G422" s="151"/>
      <c r="H422" s="151"/>
    </row>
    <row r="423" ht="12.0" customHeight="1">
      <c r="E423" s="151"/>
      <c r="F423" s="151"/>
      <c r="G423" s="151"/>
      <c r="H423" s="151"/>
    </row>
    <row r="424" ht="12.0" customHeight="1">
      <c r="E424" s="151"/>
      <c r="F424" s="151"/>
      <c r="G424" s="151"/>
      <c r="H424" s="151"/>
    </row>
    <row r="425" ht="12.0" customHeight="1">
      <c r="E425" s="151"/>
      <c r="F425" s="151"/>
      <c r="G425" s="151"/>
      <c r="H425" s="151"/>
    </row>
    <row r="426" ht="12.0" customHeight="1">
      <c r="E426" s="151"/>
      <c r="F426" s="151"/>
      <c r="G426" s="151"/>
      <c r="H426" s="151"/>
    </row>
    <row r="427" ht="12.0" customHeight="1">
      <c r="E427" s="151"/>
      <c r="F427" s="151"/>
      <c r="G427" s="151"/>
      <c r="H427" s="151"/>
    </row>
    <row r="428" ht="12.0" customHeight="1">
      <c r="E428" s="151"/>
      <c r="F428" s="151"/>
      <c r="G428" s="151"/>
      <c r="H428" s="151"/>
    </row>
    <row r="429" ht="12.0" customHeight="1">
      <c r="E429" s="151"/>
      <c r="F429" s="151"/>
      <c r="G429" s="151"/>
      <c r="H429" s="151"/>
    </row>
    <row r="430" ht="12.0" customHeight="1">
      <c r="E430" s="151"/>
      <c r="F430" s="151"/>
      <c r="G430" s="151"/>
      <c r="H430" s="151"/>
    </row>
    <row r="431" ht="12.0" customHeight="1">
      <c r="E431" s="151"/>
      <c r="F431" s="151"/>
      <c r="G431" s="151"/>
      <c r="H431" s="151"/>
    </row>
    <row r="432" ht="12.0" customHeight="1">
      <c r="E432" s="151"/>
      <c r="F432" s="151"/>
      <c r="G432" s="151"/>
      <c r="H432" s="151"/>
    </row>
    <row r="433" ht="12.0" customHeight="1">
      <c r="E433" s="151"/>
      <c r="F433" s="151"/>
      <c r="G433" s="151"/>
      <c r="H433" s="151"/>
    </row>
    <row r="434" ht="12.0" customHeight="1">
      <c r="E434" s="151"/>
      <c r="F434" s="151"/>
      <c r="G434" s="151"/>
      <c r="H434" s="151"/>
    </row>
    <row r="435" ht="12.0" customHeight="1">
      <c r="E435" s="151"/>
      <c r="F435" s="151"/>
      <c r="G435" s="151"/>
      <c r="H435" s="151"/>
    </row>
    <row r="436" ht="12.0" customHeight="1">
      <c r="E436" s="151"/>
      <c r="F436" s="151"/>
      <c r="G436" s="151"/>
      <c r="H436" s="151"/>
    </row>
    <row r="437" ht="12.0" customHeight="1">
      <c r="E437" s="151"/>
      <c r="F437" s="151"/>
      <c r="G437" s="151"/>
      <c r="H437" s="151"/>
    </row>
    <row r="438" ht="12.0" customHeight="1">
      <c r="E438" s="151"/>
      <c r="F438" s="151"/>
      <c r="G438" s="151"/>
      <c r="H438" s="151"/>
    </row>
    <row r="439" ht="12.0" customHeight="1">
      <c r="E439" s="151"/>
      <c r="F439" s="151"/>
      <c r="G439" s="151"/>
      <c r="H439" s="151"/>
    </row>
    <row r="440" ht="12.0" customHeight="1">
      <c r="E440" s="151"/>
      <c r="F440" s="151"/>
      <c r="G440" s="151"/>
      <c r="H440" s="151"/>
    </row>
    <row r="441" ht="12.0" customHeight="1">
      <c r="E441" s="151"/>
      <c r="F441" s="151"/>
      <c r="G441" s="151"/>
      <c r="H441" s="151"/>
    </row>
    <row r="442" ht="12.0" customHeight="1">
      <c r="E442" s="151"/>
      <c r="F442" s="151"/>
      <c r="G442" s="151"/>
      <c r="H442" s="151"/>
    </row>
    <row r="443" ht="12.0" customHeight="1">
      <c r="E443" s="151"/>
      <c r="F443" s="151"/>
      <c r="G443" s="151"/>
      <c r="H443" s="151"/>
    </row>
    <row r="444" ht="12.0" customHeight="1">
      <c r="E444" s="151"/>
      <c r="F444" s="151"/>
      <c r="G444" s="151"/>
      <c r="H444" s="151"/>
    </row>
    <row r="445" ht="12.0" customHeight="1">
      <c r="E445" s="151"/>
      <c r="F445" s="151"/>
      <c r="G445" s="151"/>
      <c r="H445" s="151"/>
    </row>
    <row r="446" ht="12.0" customHeight="1">
      <c r="E446" s="151"/>
      <c r="F446" s="151"/>
      <c r="G446" s="151"/>
      <c r="H446" s="151"/>
    </row>
    <row r="447" ht="12.0" customHeight="1">
      <c r="E447" s="151"/>
      <c r="F447" s="151"/>
      <c r="G447" s="151"/>
      <c r="H447" s="151"/>
    </row>
    <row r="448" ht="12.0" customHeight="1">
      <c r="E448" s="151"/>
      <c r="F448" s="151"/>
      <c r="G448" s="151"/>
      <c r="H448" s="151"/>
    </row>
    <row r="449" ht="12.0" customHeight="1">
      <c r="E449" s="151"/>
      <c r="F449" s="151"/>
      <c r="G449" s="151"/>
      <c r="H449" s="151"/>
    </row>
    <row r="450" ht="12.0" customHeight="1">
      <c r="E450" s="151"/>
      <c r="F450" s="151"/>
      <c r="G450" s="151"/>
      <c r="H450" s="151"/>
    </row>
    <row r="451" ht="12.0" customHeight="1">
      <c r="E451" s="151"/>
      <c r="F451" s="151"/>
      <c r="G451" s="151"/>
      <c r="H451" s="151"/>
    </row>
    <row r="452" ht="12.0" customHeight="1">
      <c r="E452" s="151"/>
      <c r="F452" s="151"/>
      <c r="G452" s="151"/>
      <c r="H452" s="151"/>
    </row>
    <row r="453" ht="12.0" customHeight="1">
      <c r="E453" s="151"/>
      <c r="F453" s="151"/>
      <c r="G453" s="151"/>
      <c r="H453" s="151"/>
    </row>
    <row r="454" ht="12.0" customHeight="1">
      <c r="E454" s="151"/>
      <c r="F454" s="151"/>
      <c r="G454" s="151"/>
      <c r="H454" s="151"/>
    </row>
    <row r="455" ht="12.0" customHeight="1">
      <c r="E455" s="151"/>
      <c r="F455" s="151"/>
      <c r="G455" s="151"/>
      <c r="H455" s="151"/>
    </row>
    <row r="456" ht="12.0" customHeight="1">
      <c r="E456" s="151"/>
      <c r="F456" s="151"/>
      <c r="G456" s="151"/>
      <c r="H456" s="151"/>
    </row>
    <row r="457" ht="12.0" customHeight="1">
      <c r="E457" s="151"/>
      <c r="F457" s="151"/>
      <c r="G457" s="151"/>
      <c r="H457" s="151"/>
    </row>
    <row r="458" ht="12.0" customHeight="1">
      <c r="E458" s="151"/>
      <c r="F458" s="151"/>
      <c r="G458" s="151"/>
      <c r="H458" s="151"/>
    </row>
    <row r="459" ht="12.0" customHeight="1">
      <c r="E459" s="151"/>
      <c r="F459" s="151"/>
      <c r="G459" s="151"/>
      <c r="H459" s="151"/>
    </row>
    <row r="460" ht="12.0" customHeight="1">
      <c r="E460" s="151"/>
      <c r="F460" s="151"/>
      <c r="G460" s="151"/>
      <c r="H460" s="151"/>
    </row>
    <row r="461" ht="12.0" customHeight="1">
      <c r="E461" s="151"/>
      <c r="F461" s="151"/>
      <c r="G461" s="151"/>
      <c r="H461" s="151"/>
    </row>
    <row r="462" ht="12.0" customHeight="1">
      <c r="E462" s="151"/>
      <c r="F462" s="151"/>
      <c r="G462" s="151"/>
      <c r="H462" s="151"/>
    </row>
    <row r="463" ht="12.0" customHeight="1">
      <c r="E463" s="151"/>
      <c r="F463" s="151"/>
      <c r="G463" s="151"/>
      <c r="H463" s="151"/>
    </row>
    <row r="464" ht="12.0" customHeight="1">
      <c r="E464" s="151"/>
      <c r="F464" s="151"/>
      <c r="G464" s="151"/>
      <c r="H464" s="151"/>
    </row>
    <row r="465" ht="12.0" customHeight="1">
      <c r="E465" s="151"/>
      <c r="F465" s="151"/>
      <c r="G465" s="151"/>
      <c r="H465" s="151"/>
    </row>
    <row r="466" ht="12.0" customHeight="1">
      <c r="E466" s="151"/>
      <c r="F466" s="151"/>
      <c r="G466" s="151"/>
      <c r="H466" s="151"/>
    </row>
    <row r="467" ht="12.0" customHeight="1">
      <c r="E467" s="151"/>
      <c r="F467" s="151"/>
      <c r="G467" s="151"/>
      <c r="H467" s="151"/>
    </row>
    <row r="468" ht="12.0" customHeight="1">
      <c r="E468" s="151"/>
      <c r="F468" s="151"/>
      <c r="G468" s="151"/>
      <c r="H468" s="151"/>
    </row>
    <row r="469" ht="12.0" customHeight="1">
      <c r="E469" s="151"/>
      <c r="F469" s="151"/>
      <c r="G469" s="151"/>
      <c r="H469" s="151"/>
    </row>
    <row r="470" ht="12.0" customHeight="1">
      <c r="E470" s="151"/>
      <c r="F470" s="151"/>
      <c r="G470" s="151"/>
      <c r="H470" s="151"/>
    </row>
    <row r="471" ht="12.0" customHeight="1">
      <c r="E471" s="151"/>
      <c r="F471" s="151"/>
      <c r="G471" s="151"/>
      <c r="H471" s="151"/>
    </row>
    <row r="472" ht="12.0" customHeight="1">
      <c r="E472" s="151"/>
      <c r="F472" s="151"/>
      <c r="G472" s="151"/>
      <c r="H472" s="151"/>
    </row>
    <row r="473" ht="12.0" customHeight="1">
      <c r="E473" s="151"/>
      <c r="F473" s="151"/>
      <c r="G473" s="151"/>
      <c r="H473" s="151"/>
    </row>
    <row r="474" ht="12.0" customHeight="1">
      <c r="E474" s="151"/>
      <c r="F474" s="151"/>
      <c r="G474" s="151"/>
      <c r="H474" s="151"/>
    </row>
    <row r="475" ht="12.0" customHeight="1">
      <c r="E475" s="151"/>
      <c r="F475" s="151"/>
      <c r="G475" s="151"/>
      <c r="H475" s="151"/>
    </row>
    <row r="476" ht="12.0" customHeight="1">
      <c r="E476" s="151"/>
      <c r="F476" s="151"/>
      <c r="G476" s="151"/>
      <c r="H476" s="151"/>
    </row>
    <row r="477" ht="12.0" customHeight="1">
      <c r="E477" s="151"/>
      <c r="F477" s="151"/>
      <c r="G477" s="151"/>
      <c r="H477" s="151"/>
    </row>
    <row r="478" ht="12.0" customHeight="1">
      <c r="E478" s="151"/>
      <c r="F478" s="151"/>
      <c r="G478" s="151"/>
      <c r="H478" s="151"/>
    </row>
    <row r="479" ht="12.0" customHeight="1">
      <c r="E479" s="151"/>
      <c r="F479" s="151"/>
      <c r="G479" s="151"/>
      <c r="H479" s="151"/>
    </row>
    <row r="480" ht="12.0" customHeight="1">
      <c r="E480" s="151"/>
      <c r="F480" s="151"/>
      <c r="G480" s="151"/>
      <c r="H480" s="151"/>
    </row>
    <row r="481" ht="12.0" customHeight="1">
      <c r="E481" s="151"/>
      <c r="F481" s="151"/>
      <c r="G481" s="151"/>
      <c r="H481" s="151"/>
    </row>
    <row r="482" ht="12.0" customHeight="1">
      <c r="E482" s="151"/>
      <c r="F482" s="151"/>
      <c r="G482" s="151"/>
      <c r="H482" s="151"/>
    </row>
    <row r="483" ht="12.0" customHeight="1">
      <c r="E483" s="151"/>
      <c r="F483" s="151"/>
      <c r="G483" s="151"/>
      <c r="H483" s="151"/>
    </row>
    <row r="484" ht="12.0" customHeight="1">
      <c r="E484" s="151"/>
      <c r="F484" s="151"/>
      <c r="G484" s="151"/>
      <c r="H484" s="151"/>
    </row>
    <row r="485" ht="12.0" customHeight="1">
      <c r="E485" s="151"/>
      <c r="F485" s="151"/>
      <c r="G485" s="151"/>
      <c r="H485" s="151"/>
    </row>
    <row r="486" ht="12.0" customHeight="1">
      <c r="E486" s="151"/>
      <c r="F486" s="151"/>
      <c r="G486" s="151"/>
      <c r="H486" s="151"/>
    </row>
    <row r="487" ht="12.0" customHeight="1">
      <c r="E487" s="151"/>
      <c r="F487" s="151"/>
      <c r="G487" s="151"/>
      <c r="H487" s="151"/>
    </row>
    <row r="488" ht="12.0" customHeight="1">
      <c r="E488" s="151"/>
      <c r="F488" s="151"/>
      <c r="G488" s="151"/>
      <c r="H488" s="151"/>
    </row>
    <row r="489" ht="12.0" customHeight="1">
      <c r="E489" s="151"/>
      <c r="F489" s="151"/>
      <c r="G489" s="151"/>
      <c r="H489" s="151"/>
    </row>
    <row r="490" ht="12.0" customHeight="1">
      <c r="E490" s="151"/>
      <c r="F490" s="151"/>
      <c r="G490" s="151"/>
      <c r="H490" s="151"/>
    </row>
    <row r="491" ht="12.0" customHeight="1">
      <c r="E491" s="151"/>
      <c r="F491" s="151"/>
      <c r="G491" s="151"/>
      <c r="H491" s="151"/>
    </row>
    <row r="492" ht="12.0" customHeight="1">
      <c r="E492" s="151"/>
      <c r="F492" s="151"/>
      <c r="G492" s="151"/>
      <c r="H492" s="151"/>
    </row>
    <row r="493" ht="12.0" customHeight="1">
      <c r="E493" s="151"/>
      <c r="F493" s="151"/>
      <c r="G493" s="151"/>
      <c r="H493" s="151"/>
    </row>
    <row r="494" ht="12.0" customHeight="1">
      <c r="E494" s="151"/>
      <c r="F494" s="151"/>
      <c r="G494" s="151"/>
      <c r="H494" s="151"/>
    </row>
    <row r="495" ht="12.0" customHeight="1">
      <c r="E495" s="151"/>
      <c r="F495" s="151"/>
      <c r="G495" s="151"/>
      <c r="H495" s="151"/>
    </row>
    <row r="496" ht="12.0" customHeight="1">
      <c r="E496" s="151"/>
      <c r="F496" s="151"/>
      <c r="G496" s="151"/>
      <c r="H496" s="151"/>
    </row>
    <row r="497" ht="12.0" customHeight="1">
      <c r="E497" s="151"/>
      <c r="F497" s="151"/>
      <c r="G497" s="151"/>
      <c r="H497" s="151"/>
    </row>
    <row r="498" ht="12.0" customHeight="1">
      <c r="E498" s="151"/>
      <c r="F498" s="151"/>
      <c r="G498" s="151"/>
      <c r="H498" s="151"/>
    </row>
    <row r="499" ht="12.0" customHeight="1">
      <c r="E499" s="151"/>
      <c r="F499" s="151"/>
      <c r="G499" s="151"/>
      <c r="H499" s="151"/>
    </row>
    <row r="500" ht="12.0" customHeight="1">
      <c r="E500" s="151"/>
      <c r="F500" s="151"/>
      <c r="G500" s="151"/>
      <c r="H500" s="151"/>
    </row>
    <row r="501" ht="12.0" customHeight="1">
      <c r="E501" s="151"/>
      <c r="F501" s="151"/>
      <c r="G501" s="151"/>
      <c r="H501" s="151"/>
    </row>
    <row r="502" ht="12.0" customHeight="1">
      <c r="E502" s="151"/>
      <c r="F502" s="151"/>
      <c r="G502" s="151"/>
      <c r="H502" s="151"/>
    </row>
    <row r="503" ht="12.0" customHeight="1">
      <c r="E503" s="151"/>
      <c r="F503" s="151"/>
      <c r="G503" s="151"/>
      <c r="H503" s="151"/>
    </row>
    <row r="504" ht="12.0" customHeight="1">
      <c r="E504" s="151"/>
      <c r="F504" s="151"/>
      <c r="G504" s="151"/>
      <c r="H504" s="151"/>
    </row>
    <row r="505" ht="12.0" customHeight="1">
      <c r="E505" s="151"/>
      <c r="F505" s="151"/>
      <c r="G505" s="151"/>
      <c r="H505" s="151"/>
    </row>
    <row r="506" ht="12.0" customHeight="1">
      <c r="E506" s="151"/>
      <c r="F506" s="151"/>
      <c r="G506" s="151"/>
      <c r="H506" s="151"/>
    </row>
    <row r="507" ht="12.0" customHeight="1">
      <c r="E507" s="151"/>
      <c r="F507" s="151"/>
      <c r="G507" s="151"/>
      <c r="H507" s="151"/>
    </row>
    <row r="508" ht="12.0" customHeight="1">
      <c r="E508" s="151"/>
      <c r="F508" s="151"/>
      <c r="G508" s="151"/>
      <c r="H508" s="151"/>
    </row>
    <row r="509" ht="12.0" customHeight="1">
      <c r="E509" s="151"/>
      <c r="F509" s="151"/>
      <c r="G509" s="151"/>
      <c r="H509" s="151"/>
    </row>
    <row r="510" ht="12.0" customHeight="1">
      <c r="E510" s="151"/>
      <c r="F510" s="151"/>
      <c r="G510" s="151"/>
      <c r="H510" s="151"/>
    </row>
    <row r="511" ht="12.0" customHeight="1">
      <c r="E511" s="151"/>
      <c r="F511" s="151"/>
      <c r="G511" s="151"/>
      <c r="H511" s="151"/>
    </row>
    <row r="512" ht="12.0" customHeight="1">
      <c r="E512" s="151"/>
      <c r="F512" s="151"/>
      <c r="G512" s="151"/>
      <c r="H512" s="151"/>
    </row>
    <row r="513" ht="12.0" customHeight="1">
      <c r="E513" s="151"/>
      <c r="F513" s="151"/>
      <c r="G513" s="151"/>
      <c r="H513" s="151"/>
    </row>
    <row r="514" ht="12.0" customHeight="1">
      <c r="E514" s="151"/>
      <c r="F514" s="151"/>
      <c r="G514" s="151"/>
      <c r="H514" s="151"/>
    </row>
    <row r="515" ht="12.0" customHeight="1">
      <c r="E515" s="151"/>
      <c r="F515" s="151"/>
      <c r="G515" s="151"/>
      <c r="H515" s="151"/>
    </row>
    <row r="516" ht="12.0" customHeight="1">
      <c r="E516" s="151"/>
      <c r="F516" s="151"/>
      <c r="G516" s="151"/>
      <c r="H516" s="151"/>
    </row>
    <row r="517" ht="12.0" customHeight="1">
      <c r="E517" s="151"/>
      <c r="F517" s="151"/>
      <c r="G517" s="151"/>
      <c r="H517" s="151"/>
    </row>
    <row r="518" ht="12.0" customHeight="1">
      <c r="E518" s="151"/>
      <c r="F518" s="151"/>
      <c r="G518" s="151"/>
      <c r="H518" s="151"/>
    </row>
    <row r="519" ht="12.0" customHeight="1">
      <c r="E519" s="151"/>
      <c r="F519" s="151"/>
      <c r="G519" s="151"/>
      <c r="H519" s="151"/>
    </row>
    <row r="520" ht="12.0" customHeight="1">
      <c r="E520" s="151"/>
      <c r="F520" s="151"/>
      <c r="G520" s="151"/>
      <c r="H520" s="151"/>
    </row>
    <row r="521" ht="12.0" customHeight="1">
      <c r="E521" s="151"/>
      <c r="F521" s="151"/>
      <c r="G521" s="151"/>
      <c r="H521" s="151"/>
    </row>
    <row r="522" ht="12.0" customHeight="1">
      <c r="E522" s="151"/>
      <c r="F522" s="151"/>
      <c r="G522" s="151"/>
      <c r="H522" s="151"/>
    </row>
    <row r="523" ht="12.0" customHeight="1">
      <c r="E523" s="151"/>
      <c r="F523" s="151"/>
      <c r="G523" s="151"/>
      <c r="H523" s="151"/>
    </row>
    <row r="524" ht="12.0" customHeight="1">
      <c r="E524" s="151"/>
      <c r="F524" s="151"/>
      <c r="G524" s="151"/>
      <c r="H524" s="151"/>
    </row>
    <row r="525" ht="12.0" customHeight="1">
      <c r="E525" s="151"/>
      <c r="F525" s="151"/>
      <c r="G525" s="151"/>
      <c r="H525" s="151"/>
    </row>
    <row r="526" ht="12.0" customHeight="1">
      <c r="E526" s="151"/>
      <c r="F526" s="151"/>
      <c r="G526" s="151"/>
      <c r="H526" s="151"/>
    </row>
    <row r="527" ht="12.0" customHeight="1">
      <c r="E527" s="151"/>
      <c r="F527" s="151"/>
      <c r="G527" s="151"/>
      <c r="H527" s="151"/>
    </row>
    <row r="528" ht="12.0" customHeight="1">
      <c r="E528" s="151"/>
      <c r="F528" s="151"/>
      <c r="G528" s="151"/>
      <c r="H528" s="151"/>
    </row>
    <row r="529" ht="12.0" customHeight="1">
      <c r="E529" s="151"/>
      <c r="F529" s="151"/>
      <c r="G529" s="151"/>
      <c r="H529" s="151"/>
    </row>
    <row r="530" ht="12.0" customHeight="1">
      <c r="E530" s="151"/>
      <c r="F530" s="151"/>
      <c r="G530" s="151"/>
      <c r="H530" s="151"/>
    </row>
    <row r="531" ht="12.0" customHeight="1">
      <c r="E531" s="151"/>
      <c r="F531" s="151"/>
      <c r="G531" s="151"/>
      <c r="H531" s="151"/>
    </row>
    <row r="532" ht="12.0" customHeight="1">
      <c r="E532" s="151"/>
      <c r="F532" s="151"/>
      <c r="G532" s="151"/>
      <c r="H532" s="151"/>
    </row>
    <row r="533" ht="12.0" customHeight="1">
      <c r="E533" s="151"/>
      <c r="F533" s="151"/>
      <c r="G533" s="151"/>
      <c r="H533" s="151"/>
    </row>
    <row r="534" ht="12.0" customHeight="1">
      <c r="E534" s="151"/>
      <c r="F534" s="151"/>
      <c r="G534" s="151"/>
      <c r="H534" s="151"/>
    </row>
    <row r="535" ht="12.0" customHeight="1">
      <c r="E535" s="151"/>
      <c r="F535" s="151"/>
      <c r="G535" s="151"/>
      <c r="H535" s="151"/>
    </row>
    <row r="536" ht="12.0" customHeight="1">
      <c r="E536" s="151"/>
      <c r="F536" s="151"/>
      <c r="G536" s="151"/>
      <c r="H536" s="151"/>
    </row>
    <row r="537" ht="12.0" customHeight="1">
      <c r="E537" s="151"/>
      <c r="F537" s="151"/>
      <c r="G537" s="151"/>
      <c r="H537" s="151"/>
    </row>
    <row r="538" ht="12.0" customHeight="1">
      <c r="E538" s="151"/>
      <c r="F538" s="151"/>
      <c r="G538" s="151"/>
      <c r="H538" s="151"/>
    </row>
    <row r="539" ht="12.0" customHeight="1">
      <c r="E539" s="151"/>
      <c r="F539" s="151"/>
      <c r="G539" s="151"/>
      <c r="H539" s="151"/>
    </row>
    <row r="540" ht="12.0" customHeight="1">
      <c r="E540" s="151"/>
      <c r="F540" s="151"/>
      <c r="G540" s="151"/>
      <c r="H540" s="151"/>
    </row>
    <row r="541" ht="12.0" customHeight="1">
      <c r="E541" s="151"/>
      <c r="F541" s="151"/>
      <c r="G541" s="151"/>
      <c r="H541" s="151"/>
    </row>
    <row r="542" ht="12.0" customHeight="1">
      <c r="E542" s="151"/>
      <c r="F542" s="151"/>
      <c r="G542" s="151"/>
      <c r="H542" s="151"/>
    </row>
    <row r="543" ht="12.0" customHeight="1">
      <c r="E543" s="151"/>
      <c r="F543" s="151"/>
      <c r="G543" s="151"/>
      <c r="H543" s="151"/>
    </row>
    <row r="544" ht="12.0" customHeight="1">
      <c r="E544" s="151"/>
      <c r="F544" s="151"/>
      <c r="G544" s="151"/>
      <c r="H544" s="151"/>
    </row>
    <row r="545" ht="12.0" customHeight="1">
      <c r="E545" s="151"/>
      <c r="F545" s="151"/>
      <c r="G545" s="151"/>
      <c r="H545" s="151"/>
    </row>
    <row r="546" ht="12.0" customHeight="1">
      <c r="E546" s="151"/>
      <c r="F546" s="151"/>
      <c r="G546" s="151"/>
      <c r="H546" s="151"/>
    </row>
    <row r="547" ht="12.0" customHeight="1">
      <c r="E547" s="151"/>
      <c r="F547" s="151"/>
      <c r="G547" s="151"/>
      <c r="H547" s="151"/>
    </row>
    <row r="548" ht="12.0" customHeight="1">
      <c r="E548" s="151"/>
      <c r="F548" s="151"/>
      <c r="G548" s="151"/>
      <c r="H548" s="151"/>
    </row>
    <row r="549" ht="12.0" customHeight="1">
      <c r="E549" s="151"/>
      <c r="F549" s="151"/>
      <c r="G549" s="151"/>
      <c r="H549" s="151"/>
    </row>
    <row r="550" ht="12.0" customHeight="1">
      <c r="E550" s="151"/>
      <c r="F550" s="151"/>
      <c r="G550" s="151"/>
      <c r="H550" s="151"/>
    </row>
    <row r="551" ht="12.0" customHeight="1">
      <c r="E551" s="151"/>
      <c r="F551" s="151"/>
      <c r="G551" s="151"/>
      <c r="H551" s="151"/>
    </row>
    <row r="552" ht="12.0" customHeight="1">
      <c r="E552" s="151"/>
      <c r="F552" s="151"/>
      <c r="G552" s="151"/>
      <c r="H552" s="151"/>
    </row>
    <row r="553" ht="12.0" customHeight="1">
      <c r="E553" s="151"/>
      <c r="F553" s="151"/>
      <c r="G553" s="151"/>
      <c r="H553" s="151"/>
    </row>
    <row r="554" ht="12.0" customHeight="1">
      <c r="E554" s="151"/>
      <c r="F554" s="151"/>
      <c r="G554" s="151"/>
      <c r="H554" s="151"/>
    </row>
    <row r="555" ht="12.0" customHeight="1">
      <c r="E555" s="151"/>
      <c r="F555" s="151"/>
      <c r="G555" s="151"/>
      <c r="H555" s="151"/>
    </row>
    <row r="556" ht="12.0" customHeight="1">
      <c r="E556" s="151"/>
      <c r="F556" s="151"/>
      <c r="G556" s="151"/>
      <c r="H556" s="151"/>
    </row>
    <row r="557" ht="12.0" customHeight="1">
      <c r="E557" s="151"/>
      <c r="F557" s="151"/>
      <c r="G557" s="151"/>
      <c r="H557" s="151"/>
    </row>
    <row r="558" ht="12.0" customHeight="1">
      <c r="E558" s="151"/>
      <c r="F558" s="151"/>
      <c r="G558" s="151"/>
      <c r="H558" s="151"/>
    </row>
    <row r="559" ht="12.0" customHeight="1">
      <c r="E559" s="151"/>
      <c r="F559" s="151"/>
      <c r="G559" s="151"/>
      <c r="H559" s="151"/>
    </row>
    <row r="560" ht="12.0" customHeight="1">
      <c r="E560" s="151"/>
      <c r="F560" s="151"/>
      <c r="G560" s="151"/>
      <c r="H560" s="151"/>
    </row>
    <row r="561" ht="12.0" customHeight="1">
      <c r="E561" s="151"/>
      <c r="F561" s="151"/>
      <c r="G561" s="151"/>
      <c r="H561" s="151"/>
    </row>
    <row r="562" ht="12.0" customHeight="1">
      <c r="E562" s="151"/>
      <c r="F562" s="151"/>
      <c r="G562" s="151"/>
      <c r="H562" s="151"/>
    </row>
    <row r="563" ht="12.0" customHeight="1">
      <c r="E563" s="151"/>
      <c r="F563" s="151"/>
      <c r="G563" s="151"/>
      <c r="H563" s="151"/>
    </row>
    <row r="564" ht="12.0" customHeight="1">
      <c r="E564" s="151"/>
      <c r="F564" s="151"/>
      <c r="G564" s="151"/>
      <c r="H564" s="151"/>
    </row>
    <row r="565" ht="12.0" customHeight="1">
      <c r="E565" s="151"/>
      <c r="F565" s="151"/>
      <c r="G565" s="151"/>
      <c r="H565" s="151"/>
    </row>
    <row r="566" ht="12.0" customHeight="1">
      <c r="E566" s="151"/>
      <c r="F566" s="151"/>
      <c r="G566" s="151"/>
      <c r="H566" s="151"/>
    </row>
    <row r="567" ht="12.0" customHeight="1">
      <c r="E567" s="151"/>
      <c r="F567" s="151"/>
      <c r="G567" s="151"/>
      <c r="H567" s="151"/>
    </row>
    <row r="568" ht="12.0" customHeight="1">
      <c r="E568" s="151"/>
      <c r="F568" s="151"/>
      <c r="G568" s="151"/>
      <c r="H568" s="151"/>
    </row>
    <row r="569" ht="12.0" customHeight="1">
      <c r="E569" s="151"/>
      <c r="F569" s="151"/>
      <c r="G569" s="151"/>
      <c r="H569" s="151"/>
    </row>
    <row r="570" ht="12.0" customHeight="1">
      <c r="E570" s="151"/>
      <c r="F570" s="151"/>
      <c r="G570" s="151"/>
      <c r="H570" s="151"/>
    </row>
    <row r="571" ht="12.0" customHeight="1">
      <c r="E571" s="151"/>
      <c r="F571" s="151"/>
      <c r="G571" s="151"/>
      <c r="H571" s="151"/>
    </row>
    <row r="572" ht="12.0" customHeight="1">
      <c r="E572" s="151"/>
      <c r="F572" s="151"/>
      <c r="G572" s="151"/>
      <c r="H572" s="151"/>
    </row>
    <row r="573" ht="12.0" customHeight="1">
      <c r="E573" s="151"/>
      <c r="F573" s="151"/>
      <c r="G573" s="151"/>
      <c r="H573" s="151"/>
    </row>
    <row r="574" ht="12.0" customHeight="1">
      <c r="E574" s="151"/>
      <c r="F574" s="151"/>
      <c r="G574" s="151"/>
      <c r="H574" s="151"/>
    </row>
    <row r="575" ht="12.0" customHeight="1">
      <c r="E575" s="151"/>
      <c r="F575" s="151"/>
      <c r="G575" s="151"/>
      <c r="H575" s="151"/>
    </row>
    <row r="576" ht="12.0" customHeight="1">
      <c r="E576" s="151"/>
      <c r="F576" s="151"/>
      <c r="G576" s="151"/>
      <c r="H576" s="151"/>
    </row>
    <row r="577" ht="12.0" customHeight="1">
      <c r="E577" s="151"/>
      <c r="F577" s="151"/>
      <c r="G577" s="151"/>
      <c r="H577" s="151"/>
    </row>
    <row r="578" ht="12.0" customHeight="1">
      <c r="E578" s="151"/>
      <c r="F578" s="151"/>
      <c r="G578" s="151"/>
      <c r="H578" s="151"/>
    </row>
    <row r="579" ht="12.0" customHeight="1">
      <c r="E579" s="151"/>
      <c r="F579" s="151"/>
      <c r="G579" s="151"/>
      <c r="H579" s="151"/>
    </row>
    <row r="580" ht="12.0" customHeight="1">
      <c r="E580" s="151"/>
      <c r="F580" s="151"/>
      <c r="G580" s="151"/>
      <c r="H580" s="151"/>
    </row>
    <row r="581" ht="12.0" customHeight="1">
      <c r="E581" s="151"/>
      <c r="F581" s="151"/>
      <c r="G581" s="151"/>
      <c r="H581" s="151"/>
    </row>
    <row r="582" ht="12.0" customHeight="1">
      <c r="E582" s="151"/>
      <c r="F582" s="151"/>
      <c r="G582" s="151"/>
      <c r="H582" s="151"/>
    </row>
    <row r="583" ht="12.0" customHeight="1">
      <c r="E583" s="151"/>
      <c r="F583" s="151"/>
      <c r="G583" s="151"/>
      <c r="H583" s="151"/>
    </row>
    <row r="584" ht="12.0" customHeight="1">
      <c r="E584" s="151"/>
      <c r="F584" s="151"/>
      <c r="G584" s="151"/>
      <c r="H584" s="151"/>
    </row>
    <row r="585" ht="12.0" customHeight="1">
      <c r="E585" s="151"/>
      <c r="F585" s="151"/>
      <c r="G585" s="151"/>
      <c r="H585" s="151"/>
    </row>
    <row r="586" ht="12.0" customHeight="1">
      <c r="E586" s="151"/>
      <c r="F586" s="151"/>
      <c r="G586" s="151"/>
      <c r="H586" s="151"/>
    </row>
    <row r="587" ht="12.0" customHeight="1">
      <c r="E587" s="151"/>
      <c r="F587" s="151"/>
      <c r="G587" s="151"/>
      <c r="H587" s="151"/>
    </row>
    <row r="588" ht="12.0" customHeight="1">
      <c r="E588" s="151"/>
      <c r="F588" s="151"/>
      <c r="G588" s="151"/>
      <c r="H588" s="151"/>
    </row>
    <row r="589" ht="12.0" customHeight="1">
      <c r="E589" s="151"/>
      <c r="F589" s="151"/>
      <c r="G589" s="151"/>
      <c r="H589" s="151"/>
    </row>
    <row r="590" ht="12.0" customHeight="1">
      <c r="E590" s="151"/>
      <c r="F590" s="151"/>
      <c r="G590" s="151"/>
      <c r="H590" s="151"/>
    </row>
    <row r="591" ht="12.0" customHeight="1">
      <c r="E591" s="151"/>
      <c r="F591" s="151"/>
      <c r="G591" s="151"/>
      <c r="H591" s="151"/>
    </row>
    <row r="592" ht="12.0" customHeight="1">
      <c r="E592" s="151"/>
      <c r="F592" s="151"/>
      <c r="G592" s="151"/>
      <c r="H592" s="151"/>
    </row>
    <row r="593" ht="12.0" customHeight="1">
      <c r="E593" s="151"/>
      <c r="F593" s="151"/>
      <c r="G593" s="151"/>
      <c r="H593" s="151"/>
    </row>
    <row r="594" ht="12.0" customHeight="1">
      <c r="E594" s="151"/>
      <c r="F594" s="151"/>
      <c r="G594" s="151"/>
      <c r="H594" s="151"/>
    </row>
    <row r="595" ht="12.0" customHeight="1">
      <c r="E595" s="151"/>
      <c r="F595" s="151"/>
      <c r="G595" s="151"/>
      <c r="H595" s="151"/>
    </row>
    <row r="596" ht="12.0" customHeight="1">
      <c r="E596" s="151"/>
      <c r="F596" s="151"/>
      <c r="G596" s="151"/>
      <c r="H596" s="151"/>
    </row>
    <row r="597" ht="12.0" customHeight="1">
      <c r="E597" s="151"/>
      <c r="F597" s="151"/>
      <c r="G597" s="151"/>
      <c r="H597" s="151"/>
    </row>
    <row r="598" ht="12.0" customHeight="1">
      <c r="E598" s="151"/>
      <c r="F598" s="151"/>
      <c r="G598" s="151"/>
      <c r="H598" s="151"/>
    </row>
    <row r="599" ht="12.0" customHeight="1">
      <c r="E599" s="151"/>
      <c r="F599" s="151"/>
      <c r="G599" s="151"/>
      <c r="H599" s="151"/>
    </row>
    <row r="600" ht="12.0" customHeight="1">
      <c r="E600" s="151"/>
      <c r="F600" s="151"/>
      <c r="G600" s="151"/>
      <c r="H600" s="151"/>
    </row>
    <row r="601" ht="12.0" customHeight="1">
      <c r="E601" s="151"/>
      <c r="F601" s="151"/>
      <c r="G601" s="151"/>
      <c r="H601" s="151"/>
    </row>
    <row r="602" ht="12.0" customHeight="1">
      <c r="E602" s="151"/>
      <c r="F602" s="151"/>
      <c r="G602" s="151"/>
      <c r="H602" s="151"/>
    </row>
    <row r="603" ht="12.0" customHeight="1">
      <c r="E603" s="151"/>
      <c r="F603" s="151"/>
      <c r="G603" s="151"/>
      <c r="H603" s="151"/>
    </row>
    <row r="604" ht="12.0" customHeight="1">
      <c r="E604" s="151"/>
      <c r="F604" s="151"/>
      <c r="G604" s="151"/>
      <c r="H604" s="151"/>
    </row>
    <row r="605" ht="12.0" customHeight="1">
      <c r="E605" s="151"/>
      <c r="F605" s="151"/>
      <c r="G605" s="151"/>
      <c r="H605" s="151"/>
    </row>
    <row r="606" ht="12.0" customHeight="1">
      <c r="E606" s="151"/>
      <c r="F606" s="151"/>
      <c r="G606" s="151"/>
      <c r="H606" s="151"/>
    </row>
    <row r="607" ht="12.0" customHeight="1">
      <c r="E607" s="151"/>
      <c r="F607" s="151"/>
      <c r="G607" s="151"/>
      <c r="H607" s="151"/>
    </row>
    <row r="608" ht="12.0" customHeight="1">
      <c r="E608" s="151"/>
      <c r="F608" s="151"/>
      <c r="G608" s="151"/>
      <c r="H608" s="151"/>
    </row>
    <row r="609" ht="12.0" customHeight="1">
      <c r="E609" s="151"/>
      <c r="F609" s="151"/>
      <c r="G609" s="151"/>
      <c r="H609" s="151"/>
    </row>
    <row r="610" ht="12.0" customHeight="1">
      <c r="E610" s="151"/>
      <c r="F610" s="151"/>
      <c r="G610" s="151"/>
      <c r="H610" s="151"/>
    </row>
    <row r="611" ht="12.0" customHeight="1">
      <c r="E611" s="151"/>
      <c r="F611" s="151"/>
      <c r="G611" s="151"/>
      <c r="H611" s="151"/>
    </row>
    <row r="612" ht="12.0" customHeight="1">
      <c r="E612" s="151"/>
      <c r="F612" s="151"/>
      <c r="G612" s="151"/>
      <c r="H612" s="151"/>
    </row>
    <row r="613" ht="12.0" customHeight="1">
      <c r="E613" s="151"/>
      <c r="F613" s="151"/>
      <c r="G613" s="151"/>
      <c r="H613" s="151"/>
    </row>
    <row r="614" ht="12.0" customHeight="1">
      <c r="E614" s="151"/>
      <c r="F614" s="151"/>
      <c r="G614" s="151"/>
      <c r="H614" s="151"/>
    </row>
    <row r="615" ht="12.0" customHeight="1">
      <c r="E615" s="151"/>
      <c r="F615" s="151"/>
      <c r="G615" s="151"/>
      <c r="H615" s="151"/>
    </row>
    <row r="616" ht="12.0" customHeight="1">
      <c r="E616" s="151"/>
      <c r="F616" s="151"/>
      <c r="G616" s="151"/>
      <c r="H616" s="151"/>
    </row>
    <row r="617" ht="12.0" customHeight="1">
      <c r="E617" s="151"/>
      <c r="F617" s="151"/>
      <c r="G617" s="151"/>
      <c r="H617" s="151"/>
    </row>
    <row r="618" ht="12.0" customHeight="1">
      <c r="E618" s="151"/>
      <c r="F618" s="151"/>
      <c r="G618" s="151"/>
      <c r="H618" s="151"/>
    </row>
    <row r="619" ht="12.0" customHeight="1">
      <c r="E619" s="151"/>
      <c r="F619" s="151"/>
      <c r="G619" s="151"/>
      <c r="H619" s="151"/>
    </row>
    <row r="620" ht="12.0" customHeight="1">
      <c r="E620" s="151"/>
      <c r="F620" s="151"/>
      <c r="G620" s="151"/>
      <c r="H620" s="151"/>
    </row>
    <row r="621" ht="12.0" customHeight="1">
      <c r="E621" s="151"/>
      <c r="F621" s="151"/>
      <c r="G621" s="151"/>
      <c r="H621" s="151"/>
    </row>
    <row r="622" ht="12.0" customHeight="1">
      <c r="E622" s="151"/>
      <c r="F622" s="151"/>
      <c r="G622" s="151"/>
      <c r="H622" s="151"/>
    </row>
    <row r="623" ht="12.0" customHeight="1">
      <c r="E623" s="151"/>
      <c r="F623" s="151"/>
      <c r="G623" s="151"/>
      <c r="H623" s="151"/>
    </row>
    <row r="624" ht="12.0" customHeight="1">
      <c r="E624" s="151"/>
      <c r="F624" s="151"/>
      <c r="G624" s="151"/>
      <c r="H624" s="151"/>
    </row>
    <row r="625" ht="12.0" customHeight="1">
      <c r="E625" s="151"/>
      <c r="F625" s="151"/>
      <c r="G625" s="151"/>
      <c r="H625" s="151"/>
    </row>
    <row r="626" ht="12.0" customHeight="1">
      <c r="E626" s="151"/>
      <c r="F626" s="151"/>
      <c r="G626" s="151"/>
      <c r="H626" s="151"/>
    </row>
    <row r="627" ht="12.0" customHeight="1">
      <c r="E627" s="151"/>
      <c r="F627" s="151"/>
      <c r="G627" s="151"/>
      <c r="H627" s="151"/>
    </row>
    <row r="628" ht="12.0" customHeight="1">
      <c r="E628" s="151"/>
      <c r="F628" s="151"/>
      <c r="G628" s="151"/>
      <c r="H628" s="151"/>
    </row>
    <row r="629" ht="12.0" customHeight="1">
      <c r="E629" s="151"/>
      <c r="F629" s="151"/>
      <c r="G629" s="151"/>
      <c r="H629" s="151"/>
    </row>
    <row r="630" ht="12.0" customHeight="1">
      <c r="E630" s="151"/>
      <c r="F630" s="151"/>
      <c r="G630" s="151"/>
      <c r="H630" s="151"/>
    </row>
    <row r="631" ht="12.0" customHeight="1">
      <c r="E631" s="151"/>
      <c r="F631" s="151"/>
      <c r="G631" s="151"/>
      <c r="H631" s="151"/>
    </row>
    <row r="632" ht="12.0" customHeight="1">
      <c r="E632" s="151"/>
      <c r="F632" s="151"/>
      <c r="G632" s="151"/>
      <c r="H632" s="151"/>
    </row>
    <row r="633" ht="12.0" customHeight="1">
      <c r="E633" s="151"/>
      <c r="F633" s="151"/>
      <c r="G633" s="151"/>
      <c r="H633" s="151"/>
    </row>
    <row r="634" ht="12.0" customHeight="1">
      <c r="E634" s="151"/>
      <c r="F634" s="151"/>
      <c r="G634" s="151"/>
      <c r="H634" s="151"/>
    </row>
    <row r="635" ht="12.0" customHeight="1">
      <c r="E635" s="151"/>
      <c r="F635" s="151"/>
      <c r="G635" s="151"/>
      <c r="H635" s="151"/>
    </row>
    <row r="636" ht="12.0" customHeight="1">
      <c r="E636" s="151"/>
      <c r="F636" s="151"/>
      <c r="G636" s="151"/>
      <c r="H636" s="151"/>
    </row>
    <row r="637" ht="12.0" customHeight="1">
      <c r="E637" s="151"/>
      <c r="F637" s="151"/>
      <c r="G637" s="151"/>
      <c r="H637" s="151"/>
    </row>
    <row r="638" ht="12.0" customHeight="1">
      <c r="E638" s="151"/>
      <c r="F638" s="151"/>
      <c r="G638" s="151"/>
      <c r="H638" s="151"/>
    </row>
    <row r="639" ht="12.0" customHeight="1">
      <c r="E639" s="151"/>
      <c r="F639" s="151"/>
      <c r="G639" s="151"/>
      <c r="H639" s="151"/>
    </row>
    <row r="640" ht="12.0" customHeight="1">
      <c r="E640" s="151"/>
      <c r="F640" s="151"/>
      <c r="G640" s="151"/>
      <c r="H640" s="151"/>
    </row>
    <row r="641" ht="12.0" customHeight="1">
      <c r="E641" s="151"/>
      <c r="F641" s="151"/>
      <c r="G641" s="151"/>
      <c r="H641" s="151"/>
    </row>
    <row r="642" ht="12.0" customHeight="1">
      <c r="E642" s="151"/>
      <c r="F642" s="151"/>
      <c r="G642" s="151"/>
      <c r="H642" s="151"/>
    </row>
    <row r="643" ht="12.0" customHeight="1">
      <c r="E643" s="151"/>
      <c r="F643" s="151"/>
      <c r="G643" s="151"/>
      <c r="H643" s="151"/>
    </row>
    <row r="644" ht="12.0" customHeight="1">
      <c r="E644" s="151"/>
      <c r="F644" s="151"/>
      <c r="G644" s="151"/>
      <c r="H644" s="151"/>
    </row>
    <row r="645" ht="12.0" customHeight="1">
      <c r="E645" s="151"/>
      <c r="F645" s="151"/>
      <c r="G645" s="151"/>
      <c r="H645" s="151"/>
    </row>
    <row r="646" ht="12.0" customHeight="1">
      <c r="E646" s="151"/>
      <c r="F646" s="151"/>
      <c r="G646" s="151"/>
      <c r="H646" s="151"/>
    </row>
    <row r="647" ht="12.0" customHeight="1">
      <c r="E647" s="151"/>
      <c r="F647" s="151"/>
      <c r="G647" s="151"/>
      <c r="H647" s="151"/>
    </row>
    <row r="648" ht="12.0" customHeight="1">
      <c r="E648" s="151"/>
      <c r="F648" s="151"/>
      <c r="G648" s="151"/>
      <c r="H648" s="151"/>
    </row>
    <row r="649" ht="12.0" customHeight="1">
      <c r="E649" s="151"/>
      <c r="F649" s="151"/>
      <c r="G649" s="151"/>
      <c r="H649" s="151"/>
    </row>
    <row r="650" ht="12.0" customHeight="1">
      <c r="E650" s="151"/>
      <c r="F650" s="151"/>
      <c r="G650" s="151"/>
      <c r="H650" s="151"/>
    </row>
    <row r="651" ht="12.0" customHeight="1">
      <c r="E651" s="151"/>
      <c r="F651" s="151"/>
      <c r="G651" s="151"/>
      <c r="H651" s="151"/>
    </row>
    <row r="652" ht="12.0" customHeight="1">
      <c r="E652" s="151"/>
      <c r="F652" s="151"/>
      <c r="G652" s="151"/>
      <c r="H652" s="151"/>
    </row>
    <row r="653" ht="12.0" customHeight="1">
      <c r="E653" s="151"/>
      <c r="F653" s="151"/>
      <c r="G653" s="151"/>
      <c r="H653" s="151"/>
    </row>
    <row r="654" ht="12.0" customHeight="1">
      <c r="E654" s="151"/>
      <c r="F654" s="151"/>
      <c r="G654" s="151"/>
      <c r="H654" s="151"/>
    </row>
    <row r="655" ht="12.0" customHeight="1">
      <c r="E655" s="151"/>
      <c r="F655" s="151"/>
      <c r="G655" s="151"/>
      <c r="H655" s="151"/>
    </row>
    <row r="656" ht="12.0" customHeight="1">
      <c r="E656" s="151"/>
      <c r="F656" s="151"/>
      <c r="G656" s="151"/>
      <c r="H656" s="151"/>
    </row>
    <row r="657" ht="12.0" customHeight="1">
      <c r="E657" s="151"/>
      <c r="F657" s="151"/>
      <c r="G657" s="151"/>
      <c r="H657" s="151"/>
    </row>
    <row r="658" ht="12.0" customHeight="1">
      <c r="E658" s="151"/>
      <c r="F658" s="151"/>
      <c r="G658" s="151"/>
      <c r="H658" s="151"/>
    </row>
    <row r="659" ht="12.0" customHeight="1">
      <c r="E659" s="151"/>
      <c r="F659" s="151"/>
      <c r="G659" s="151"/>
      <c r="H659" s="151"/>
    </row>
    <row r="660" ht="12.0" customHeight="1">
      <c r="E660" s="151"/>
      <c r="F660" s="151"/>
      <c r="G660" s="151"/>
      <c r="H660" s="151"/>
    </row>
    <row r="661" ht="12.0" customHeight="1">
      <c r="E661" s="151"/>
      <c r="F661" s="151"/>
      <c r="G661" s="151"/>
      <c r="H661" s="151"/>
    </row>
    <row r="662" ht="12.0" customHeight="1">
      <c r="E662" s="151"/>
      <c r="F662" s="151"/>
      <c r="G662" s="151"/>
      <c r="H662" s="151"/>
    </row>
    <row r="663" ht="12.0" customHeight="1">
      <c r="E663" s="151"/>
      <c r="F663" s="151"/>
      <c r="G663" s="151"/>
      <c r="H663" s="151"/>
    </row>
    <row r="664" ht="12.0" customHeight="1">
      <c r="E664" s="151"/>
      <c r="F664" s="151"/>
      <c r="G664" s="151"/>
      <c r="H664" s="151"/>
    </row>
    <row r="665" ht="12.0" customHeight="1">
      <c r="E665" s="151"/>
      <c r="F665" s="151"/>
      <c r="G665" s="151"/>
      <c r="H665" s="151"/>
    </row>
    <row r="666" ht="12.0" customHeight="1">
      <c r="E666" s="151"/>
      <c r="F666" s="151"/>
      <c r="G666" s="151"/>
      <c r="H666" s="151"/>
    </row>
    <row r="667" ht="12.0" customHeight="1">
      <c r="E667" s="151"/>
      <c r="F667" s="151"/>
      <c r="G667" s="151"/>
      <c r="H667" s="151"/>
    </row>
    <row r="668" ht="12.0" customHeight="1">
      <c r="E668" s="151"/>
      <c r="F668" s="151"/>
      <c r="G668" s="151"/>
      <c r="H668" s="151"/>
    </row>
    <row r="669" ht="12.0" customHeight="1">
      <c r="E669" s="151"/>
      <c r="F669" s="151"/>
      <c r="G669" s="151"/>
      <c r="H669" s="151"/>
    </row>
    <row r="670" ht="12.0" customHeight="1">
      <c r="E670" s="151"/>
      <c r="F670" s="151"/>
      <c r="G670" s="151"/>
      <c r="H670" s="151"/>
    </row>
    <row r="671" ht="12.0" customHeight="1">
      <c r="E671" s="151"/>
      <c r="F671" s="151"/>
      <c r="G671" s="151"/>
      <c r="H671" s="151"/>
    </row>
    <row r="672" ht="12.0" customHeight="1">
      <c r="E672" s="151"/>
      <c r="F672" s="151"/>
      <c r="G672" s="151"/>
      <c r="H672" s="151"/>
    </row>
    <row r="673" ht="12.0" customHeight="1">
      <c r="E673" s="151"/>
      <c r="F673" s="151"/>
      <c r="G673" s="151"/>
      <c r="H673" s="151"/>
    </row>
    <row r="674" ht="12.0" customHeight="1">
      <c r="E674" s="151"/>
      <c r="F674" s="151"/>
      <c r="G674" s="151"/>
      <c r="H674" s="151"/>
    </row>
    <row r="675" ht="12.0" customHeight="1">
      <c r="E675" s="151"/>
      <c r="F675" s="151"/>
      <c r="G675" s="151"/>
      <c r="H675" s="151"/>
    </row>
    <row r="676" ht="12.0" customHeight="1">
      <c r="E676" s="151"/>
      <c r="F676" s="151"/>
      <c r="G676" s="151"/>
      <c r="H676" s="151"/>
    </row>
    <row r="677" ht="12.0" customHeight="1">
      <c r="E677" s="151"/>
      <c r="F677" s="151"/>
      <c r="G677" s="151"/>
      <c r="H677" s="151"/>
    </row>
    <row r="678" ht="12.0" customHeight="1">
      <c r="E678" s="151"/>
      <c r="F678" s="151"/>
      <c r="G678" s="151"/>
      <c r="H678" s="151"/>
    </row>
    <row r="679" ht="12.0" customHeight="1">
      <c r="E679" s="151"/>
      <c r="F679" s="151"/>
      <c r="G679" s="151"/>
      <c r="H679" s="151"/>
    </row>
    <row r="680" ht="12.0" customHeight="1">
      <c r="E680" s="151"/>
      <c r="F680" s="151"/>
      <c r="G680" s="151"/>
      <c r="H680" s="151"/>
    </row>
    <row r="681" ht="12.0" customHeight="1">
      <c r="E681" s="151"/>
      <c r="F681" s="151"/>
      <c r="G681" s="151"/>
      <c r="H681" s="151"/>
    </row>
    <row r="682" ht="12.0" customHeight="1">
      <c r="E682" s="151"/>
      <c r="F682" s="151"/>
      <c r="G682" s="151"/>
      <c r="H682" s="151"/>
    </row>
    <row r="683" ht="12.0" customHeight="1">
      <c r="E683" s="151"/>
      <c r="F683" s="151"/>
      <c r="G683" s="151"/>
      <c r="H683" s="151"/>
    </row>
    <row r="684" ht="12.0" customHeight="1">
      <c r="E684" s="151"/>
      <c r="F684" s="151"/>
      <c r="G684" s="151"/>
      <c r="H684" s="151"/>
    </row>
    <row r="685" ht="12.0" customHeight="1">
      <c r="E685" s="151"/>
      <c r="F685" s="151"/>
      <c r="G685" s="151"/>
      <c r="H685" s="151"/>
    </row>
    <row r="686" ht="12.0" customHeight="1">
      <c r="E686" s="151"/>
      <c r="F686" s="151"/>
      <c r="G686" s="151"/>
      <c r="H686" s="151"/>
    </row>
    <row r="687" ht="12.0" customHeight="1">
      <c r="E687" s="151"/>
      <c r="F687" s="151"/>
      <c r="G687" s="151"/>
      <c r="H687" s="151"/>
    </row>
    <row r="688" ht="12.0" customHeight="1">
      <c r="E688" s="151"/>
      <c r="F688" s="151"/>
      <c r="G688" s="151"/>
      <c r="H688" s="151"/>
    </row>
    <row r="689" ht="12.0" customHeight="1">
      <c r="E689" s="151"/>
      <c r="F689" s="151"/>
      <c r="G689" s="151"/>
      <c r="H689" s="151"/>
    </row>
    <row r="690" ht="12.0" customHeight="1">
      <c r="E690" s="151"/>
      <c r="F690" s="151"/>
      <c r="G690" s="151"/>
      <c r="H690" s="151"/>
    </row>
    <row r="691" ht="12.0" customHeight="1">
      <c r="E691" s="151"/>
      <c r="F691" s="151"/>
      <c r="G691" s="151"/>
      <c r="H691" s="151"/>
    </row>
    <row r="692" ht="12.0" customHeight="1">
      <c r="E692" s="151"/>
      <c r="F692" s="151"/>
      <c r="G692" s="151"/>
      <c r="H692" s="151"/>
    </row>
    <row r="693" ht="12.0" customHeight="1">
      <c r="E693" s="151"/>
      <c r="F693" s="151"/>
      <c r="G693" s="151"/>
      <c r="H693" s="151"/>
    </row>
    <row r="694" ht="12.0" customHeight="1">
      <c r="E694" s="151"/>
      <c r="F694" s="151"/>
      <c r="G694" s="151"/>
      <c r="H694" s="151"/>
    </row>
    <row r="695" ht="12.0" customHeight="1">
      <c r="E695" s="151"/>
      <c r="F695" s="151"/>
      <c r="G695" s="151"/>
      <c r="H695" s="151"/>
    </row>
    <row r="696" ht="12.0" customHeight="1">
      <c r="E696" s="151"/>
      <c r="F696" s="151"/>
      <c r="G696" s="151"/>
      <c r="H696" s="151"/>
    </row>
    <row r="697" ht="12.0" customHeight="1">
      <c r="E697" s="151"/>
      <c r="F697" s="151"/>
      <c r="G697" s="151"/>
      <c r="H697" s="151"/>
    </row>
    <row r="698" ht="12.0" customHeight="1">
      <c r="E698" s="151"/>
      <c r="F698" s="151"/>
      <c r="G698" s="151"/>
      <c r="H698" s="151"/>
    </row>
    <row r="699" ht="12.0" customHeight="1">
      <c r="E699" s="151"/>
      <c r="F699" s="151"/>
      <c r="G699" s="151"/>
      <c r="H699" s="151"/>
    </row>
    <row r="700" ht="12.0" customHeight="1">
      <c r="E700" s="151"/>
      <c r="F700" s="151"/>
      <c r="G700" s="151"/>
      <c r="H700" s="151"/>
    </row>
    <row r="701" ht="12.0" customHeight="1">
      <c r="E701" s="151"/>
      <c r="F701" s="151"/>
      <c r="G701" s="151"/>
      <c r="H701" s="151"/>
    </row>
    <row r="702" ht="12.0" customHeight="1">
      <c r="E702" s="151"/>
      <c r="F702" s="151"/>
      <c r="G702" s="151"/>
      <c r="H702" s="151"/>
    </row>
    <row r="703" ht="12.0" customHeight="1">
      <c r="E703" s="151"/>
      <c r="F703" s="151"/>
      <c r="G703" s="151"/>
      <c r="H703" s="151"/>
    </row>
    <row r="704" ht="12.0" customHeight="1">
      <c r="E704" s="151"/>
      <c r="F704" s="151"/>
      <c r="G704" s="151"/>
      <c r="H704" s="151"/>
    </row>
    <row r="705" ht="12.0" customHeight="1">
      <c r="E705" s="151"/>
      <c r="F705" s="151"/>
      <c r="G705" s="151"/>
      <c r="H705" s="151"/>
    </row>
    <row r="706" ht="12.0" customHeight="1">
      <c r="E706" s="151"/>
      <c r="F706" s="151"/>
      <c r="G706" s="151"/>
      <c r="H706" s="151"/>
    </row>
    <row r="707" ht="12.0" customHeight="1">
      <c r="E707" s="151"/>
      <c r="F707" s="151"/>
      <c r="G707" s="151"/>
      <c r="H707" s="151"/>
    </row>
    <row r="708" ht="12.0" customHeight="1">
      <c r="E708" s="151"/>
      <c r="F708" s="151"/>
      <c r="G708" s="151"/>
      <c r="H708" s="151"/>
    </row>
    <row r="709" ht="12.0" customHeight="1">
      <c r="E709" s="151"/>
      <c r="F709" s="151"/>
      <c r="G709" s="151"/>
      <c r="H709" s="151"/>
    </row>
    <row r="710" ht="12.0" customHeight="1">
      <c r="E710" s="151"/>
      <c r="F710" s="151"/>
      <c r="G710" s="151"/>
      <c r="H710" s="151"/>
    </row>
    <row r="711" ht="12.0" customHeight="1">
      <c r="E711" s="151"/>
      <c r="F711" s="151"/>
      <c r="G711" s="151"/>
      <c r="H711" s="151"/>
    </row>
    <row r="712" ht="12.0" customHeight="1">
      <c r="E712" s="151"/>
      <c r="F712" s="151"/>
      <c r="G712" s="151"/>
      <c r="H712" s="151"/>
    </row>
    <row r="713" ht="12.0" customHeight="1">
      <c r="E713" s="151"/>
      <c r="F713" s="151"/>
      <c r="G713" s="151"/>
      <c r="H713" s="151"/>
    </row>
    <row r="714" ht="12.0" customHeight="1">
      <c r="E714" s="151"/>
      <c r="F714" s="151"/>
      <c r="G714" s="151"/>
      <c r="H714" s="151"/>
    </row>
    <row r="715" ht="12.0" customHeight="1">
      <c r="E715" s="151"/>
      <c r="F715" s="151"/>
      <c r="G715" s="151"/>
      <c r="H715" s="151"/>
    </row>
    <row r="716" ht="12.0" customHeight="1">
      <c r="E716" s="151"/>
      <c r="F716" s="151"/>
      <c r="G716" s="151"/>
      <c r="H716" s="151"/>
    </row>
    <row r="717" ht="12.0" customHeight="1">
      <c r="E717" s="151"/>
      <c r="F717" s="151"/>
      <c r="G717" s="151"/>
      <c r="H717" s="151"/>
    </row>
    <row r="718" ht="12.0" customHeight="1">
      <c r="E718" s="151"/>
      <c r="F718" s="151"/>
      <c r="G718" s="151"/>
      <c r="H718" s="151"/>
    </row>
    <row r="719" ht="12.0" customHeight="1">
      <c r="E719" s="151"/>
      <c r="F719" s="151"/>
      <c r="G719" s="151"/>
      <c r="H719" s="151"/>
    </row>
    <row r="720" ht="12.0" customHeight="1">
      <c r="E720" s="151"/>
      <c r="F720" s="151"/>
      <c r="G720" s="151"/>
      <c r="H720" s="151"/>
    </row>
    <row r="721" ht="12.0" customHeight="1">
      <c r="E721" s="151"/>
      <c r="F721" s="151"/>
      <c r="G721" s="151"/>
      <c r="H721" s="151"/>
    </row>
    <row r="722" ht="12.0" customHeight="1">
      <c r="E722" s="151"/>
      <c r="F722" s="151"/>
      <c r="G722" s="151"/>
      <c r="H722" s="151"/>
    </row>
    <row r="723" ht="12.0" customHeight="1">
      <c r="E723" s="151"/>
      <c r="F723" s="151"/>
      <c r="G723" s="151"/>
      <c r="H723" s="151"/>
    </row>
    <row r="724" ht="12.0" customHeight="1">
      <c r="E724" s="151"/>
      <c r="F724" s="151"/>
      <c r="G724" s="151"/>
      <c r="H724" s="151"/>
    </row>
    <row r="725" ht="12.0" customHeight="1">
      <c r="E725" s="151"/>
      <c r="F725" s="151"/>
      <c r="G725" s="151"/>
      <c r="H725" s="151"/>
    </row>
    <row r="726" ht="12.0" customHeight="1">
      <c r="E726" s="151"/>
      <c r="F726" s="151"/>
      <c r="G726" s="151"/>
      <c r="H726" s="151"/>
    </row>
    <row r="727" ht="12.0" customHeight="1">
      <c r="E727" s="151"/>
      <c r="F727" s="151"/>
      <c r="G727" s="151"/>
      <c r="H727" s="151"/>
    </row>
    <row r="728" ht="12.0" customHeight="1">
      <c r="E728" s="151"/>
      <c r="F728" s="151"/>
      <c r="G728" s="151"/>
      <c r="H728" s="151"/>
    </row>
    <row r="729" ht="12.0" customHeight="1">
      <c r="E729" s="151"/>
      <c r="F729" s="151"/>
      <c r="G729" s="151"/>
      <c r="H729" s="151"/>
    </row>
    <row r="730" ht="12.0" customHeight="1">
      <c r="E730" s="151"/>
      <c r="F730" s="151"/>
      <c r="G730" s="151"/>
      <c r="H730" s="151"/>
    </row>
    <row r="731" ht="12.0" customHeight="1">
      <c r="E731" s="151"/>
      <c r="F731" s="151"/>
      <c r="G731" s="151"/>
      <c r="H731" s="151"/>
    </row>
    <row r="732" ht="12.0" customHeight="1">
      <c r="E732" s="151"/>
      <c r="F732" s="151"/>
      <c r="G732" s="151"/>
      <c r="H732" s="151"/>
    </row>
    <row r="733" ht="12.0" customHeight="1">
      <c r="E733" s="151"/>
      <c r="F733" s="151"/>
      <c r="G733" s="151"/>
      <c r="H733" s="151"/>
    </row>
    <row r="734" ht="12.0" customHeight="1">
      <c r="E734" s="151"/>
      <c r="F734" s="151"/>
      <c r="G734" s="151"/>
      <c r="H734" s="151"/>
    </row>
    <row r="735" ht="12.0" customHeight="1">
      <c r="E735" s="151"/>
      <c r="F735" s="151"/>
      <c r="G735" s="151"/>
      <c r="H735" s="151"/>
    </row>
    <row r="736" ht="12.0" customHeight="1">
      <c r="E736" s="151"/>
      <c r="F736" s="151"/>
      <c r="G736" s="151"/>
      <c r="H736" s="151"/>
    </row>
    <row r="737" ht="12.0" customHeight="1">
      <c r="E737" s="151"/>
      <c r="F737" s="151"/>
      <c r="G737" s="151"/>
      <c r="H737" s="151"/>
    </row>
    <row r="738" ht="12.0" customHeight="1">
      <c r="E738" s="151"/>
      <c r="F738" s="151"/>
      <c r="G738" s="151"/>
      <c r="H738" s="151"/>
    </row>
    <row r="739" ht="12.0" customHeight="1">
      <c r="E739" s="151"/>
      <c r="F739" s="151"/>
      <c r="G739" s="151"/>
      <c r="H739" s="151"/>
    </row>
    <row r="740" ht="12.0" customHeight="1">
      <c r="E740" s="151"/>
      <c r="F740" s="151"/>
      <c r="G740" s="151"/>
      <c r="H740" s="151"/>
    </row>
    <row r="741" ht="12.0" customHeight="1">
      <c r="E741" s="151"/>
      <c r="F741" s="151"/>
      <c r="G741" s="151"/>
      <c r="H741" s="151"/>
    </row>
    <row r="742" ht="12.0" customHeight="1">
      <c r="E742" s="151"/>
      <c r="F742" s="151"/>
      <c r="G742" s="151"/>
      <c r="H742" s="151"/>
    </row>
    <row r="743" ht="12.0" customHeight="1">
      <c r="E743" s="151"/>
      <c r="F743" s="151"/>
      <c r="G743" s="151"/>
      <c r="H743" s="151"/>
    </row>
    <row r="744" ht="12.0" customHeight="1">
      <c r="E744" s="151"/>
      <c r="F744" s="151"/>
      <c r="G744" s="151"/>
      <c r="H744" s="151"/>
    </row>
    <row r="745" ht="12.0" customHeight="1">
      <c r="E745" s="151"/>
      <c r="F745" s="151"/>
      <c r="G745" s="151"/>
      <c r="H745" s="151"/>
    </row>
    <row r="746" ht="12.0" customHeight="1">
      <c r="E746" s="151"/>
      <c r="F746" s="151"/>
      <c r="G746" s="151"/>
      <c r="H746" s="151"/>
    </row>
    <row r="747" ht="12.0" customHeight="1">
      <c r="E747" s="151"/>
      <c r="F747" s="151"/>
      <c r="G747" s="151"/>
      <c r="H747" s="151"/>
    </row>
    <row r="748" ht="12.0" customHeight="1">
      <c r="E748" s="151"/>
      <c r="F748" s="151"/>
      <c r="G748" s="151"/>
      <c r="H748" s="151"/>
    </row>
    <row r="749" ht="12.0" customHeight="1">
      <c r="E749" s="151"/>
      <c r="F749" s="151"/>
      <c r="G749" s="151"/>
      <c r="H749" s="151"/>
    </row>
    <row r="750" ht="12.0" customHeight="1">
      <c r="E750" s="151"/>
      <c r="F750" s="151"/>
      <c r="G750" s="151"/>
      <c r="H750" s="151"/>
    </row>
    <row r="751" ht="12.0" customHeight="1">
      <c r="E751" s="151"/>
      <c r="F751" s="151"/>
      <c r="G751" s="151"/>
      <c r="H751" s="151"/>
    </row>
    <row r="752" ht="12.0" customHeight="1">
      <c r="E752" s="151"/>
      <c r="F752" s="151"/>
      <c r="G752" s="151"/>
      <c r="H752" s="151"/>
    </row>
    <row r="753" ht="12.0" customHeight="1">
      <c r="E753" s="151"/>
      <c r="F753" s="151"/>
      <c r="G753" s="151"/>
      <c r="H753" s="151"/>
    </row>
    <row r="754" ht="12.0" customHeight="1">
      <c r="E754" s="151"/>
      <c r="F754" s="151"/>
      <c r="G754" s="151"/>
      <c r="H754" s="151"/>
    </row>
    <row r="755" ht="12.0" customHeight="1">
      <c r="E755" s="151"/>
      <c r="F755" s="151"/>
      <c r="G755" s="151"/>
      <c r="H755" s="151"/>
    </row>
    <row r="756" ht="12.0" customHeight="1">
      <c r="E756" s="151"/>
      <c r="F756" s="151"/>
      <c r="G756" s="151"/>
      <c r="H756" s="151"/>
    </row>
    <row r="757" ht="12.0" customHeight="1">
      <c r="E757" s="151"/>
      <c r="F757" s="151"/>
      <c r="G757" s="151"/>
      <c r="H757" s="151"/>
    </row>
    <row r="758" ht="12.0" customHeight="1">
      <c r="E758" s="151"/>
      <c r="F758" s="151"/>
      <c r="G758" s="151"/>
      <c r="H758" s="151"/>
    </row>
    <row r="759" ht="12.0" customHeight="1">
      <c r="E759" s="151"/>
      <c r="F759" s="151"/>
      <c r="G759" s="151"/>
      <c r="H759" s="151"/>
    </row>
    <row r="760" ht="12.0" customHeight="1">
      <c r="E760" s="151"/>
      <c r="F760" s="151"/>
      <c r="G760" s="151"/>
      <c r="H760" s="151"/>
    </row>
    <row r="761" ht="12.0" customHeight="1">
      <c r="E761" s="151"/>
      <c r="F761" s="151"/>
      <c r="G761" s="151"/>
      <c r="H761" s="151"/>
    </row>
    <row r="762" ht="12.0" customHeight="1">
      <c r="E762" s="151"/>
      <c r="F762" s="151"/>
      <c r="G762" s="151"/>
      <c r="H762" s="151"/>
    </row>
    <row r="763" ht="12.0" customHeight="1">
      <c r="E763" s="151"/>
      <c r="F763" s="151"/>
      <c r="G763" s="151"/>
      <c r="H763" s="151"/>
    </row>
    <row r="764" ht="12.0" customHeight="1">
      <c r="E764" s="151"/>
      <c r="F764" s="151"/>
      <c r="G764" s="151"/>
      <c r="H764" s="151"/>
    </row>
    <row r="765" ht="12.0" customHeight="1">
      <c r="E765" s="151"/>
      <c r="F765" s="151"/>
      <c r="G765" s="151"/>
      <c r="H765" s="151"/>
    </row>
    <row r="766" ht="12.0" customHeight="1">
      <c r="E766" s="151"/>
      <c r="F766" s="151"/>
      <c r="G766" s="151"/>
      <c r="H766" s="151"/>
    </row>
    <row r="767" ht="12.0" customHeight="1">
      <c r="E767" s="151"/>
      <c r="F767" s="151"/>
      <c r="G767" s="151"/>
      <c r="H767" s="151"/>
    </row>
    <row r="768" ht="12.0" customHeight="1">
      <c r="E768" s="151"/>
      <c r="F768" s="151"/>
      <c r="G768" s="151"/>
      <c r="H768" s="151"/>
    </row>
    <row r="769" ht="12.0" customHeight="1">
      <c r="E769" s="151"/>
      <c r="F769" s="151"/>
      <c r="G769" s="151"/>
      <c r="H769" s="151"/>
    </row>
    <row r="770" ht="12.0" customHeight="1">
      <c r="E770" s="151"/>
      <c r="F770" s="151"/>
      <c r="G770" s="151"/>
      <c r="H770" s="151"/>
    </row>
    <row r="771" ht="12.0" customHeight="1">
      <c r="E771" s="151"/>
      <c r="F771" s="151"/>
      <c r="G771" s="151"/>
      <c r="H771" s="151"/>
    </row>
    <row r="772" ht="12.0" customHeight="1">
      <c r="E772" s="151"/>
      <c r="F772" s="151"/>
      <c r="G772" s="151"/>
      <c r="H772" s="151"/>
    </row>
    <row r="773" ht="12.0" customHeight="1">
      <c r="E773" s="151"/>
      <c r="F773" s="151"/>
      <c r="G773" s="151"/>
      <c r="H773" s="151"/>
    </row>
    <row r="774" ht="12.0" customHeight="1">
      <c r="E774" s="151"/>
      <c r="F774" s="151"/>
      <c r="G774" s="151"/>
      <c r="H774" s="151"/>
    </row>
    <row r="775" ht="12.0" customHeight="1">
      <c r="E775" s="151"/>
      <c r="F775" s="151"/>
      <c r="G775" s="151"/>
      <c r="H775" s="151"/>
    </row>
    <row r="776" ht="12.0" customHeight="1">
      <c r="E776" s="151"/>
      <c r="F776" s="151"/>
      <c r="G776" s="151"/>
      <c r="H776" s="151"/>
    </row>
    <row r="777" ht="12.0" customHeight="1">
      <c r="E777" s="151"/>
      <c r="F777" s="151"/>
      <c r="G777" s="151"/>
      <c r="H777" s="151"/>
    </row>
    <row r="778" ht="12.0" customHeight="1">
      <c r="E778" s="151"/>
      <c r="F778" s="151"/>
      <c r="G778" s="151"/>
      <c r="H778" s="151"/>
    </row>
    <row r="779" ht="12.0" customHeight="1">
      <c r="E779" s="151"/>
      <c r="F779" s="151"/>
      <c r="G779" s="151"/>
      <c r="H779" s="151"/>
    </row>
    <row r="780" ht="12.0" customHeight="1">
      <c r="E780" s="151"/>
      <c r="F780" s="151"/>
      <c r="G780" s="151"/>
      <c r="H780" s="151"/>
    </row>
    <row r="781" ht="12.0" customHeight="1">
      <c r="E781" s="151"/>
      <c r="F781" s="151"/>
      <c r="G781" s="151"/>
      <c r="H781" s="151"/>
    </row>
    <row r="782" ht="12.0" customHeight="1">
      <c r="E782" s="151"/>
      <c r="F782" s="151"/>
      <c r="G782" s="151"/>
      <c r="H782" s="151"/>
    </row>
    <row r="783" ht="12.0" customHeight="1">
      <c r="E783" s="151"/>
      <c r="F783" s="151"/>
      <c r="G783" s="151"/>
      <c r="H783" s="151"/>
    </row>
    <row r="784" ht="12.0" customHeight="1">
      <c r="E784" s="151"/>
      <c r="F784" s="151"/>
      <c r="G784" s="151"/>
      <c r="H784" s="151"/>
    </row>
    <row r="785" ht="12.0" customHeight="1">
      <c r="E785" s="151"/>
      <c r="F785" s="151"/>
      <c r="G785" s="151"/>
      <c r="H785" s="151"/>
    </row>
    <row r="786" ht="12.0" customHeight="1">
      <c r="E786" s="151"/>
      <c r="F786" s="151"/>
      <c r="G786" s="151"/>
      <c r="H786" s="151"/>
    </row>
    <row r="787" ht="12.0" customHeight="1">
      <c r="E787" s="151"/>
      <c r="F787" s="151"/>
      <c r="G787" s="151"/>
      <c r="H787" s="151"/>
    </row>
    <row r="788" ht="12.0" customHeight="1">
      <c r="E788" s="151"/>
      <c r="F788" s="151"/>
      <c r="G788" s="151"/>
      <c r="H788" s="151"/>
    </row>
    <row r="789" ht="12.0" customHeight="1">
      <c r="E789" s="151"/>
      <c r="F789" s="151"/>
      <c r="G789" s="151"/>
      <c r="H789" s="151"/>
    </row>
    <row r="790" ht="12.0" customHeight="1">
      <c r="E790" s="151"/>
      <c r="F790" s="151"/>
      <c r="G790" s="151"/>
      <c r="H790" s="151"/>
    </row>
    <row r="791" ht="12.0" customHeight="1">
      <c r="E791" s="151"/>
      <c r="F791" s="151"/>
      <c r="G791" s="151"/>
      <c r="H791" s="151"/>
    </row>
    <row r="792" ht="12.0" customHeight="1">
      <c r="E792" s="151"/>
      <c r="F792" s="151"/>
      <c r="G792" s="151"/>
      <c r="H792" s="151"/>
    </row>
    <row r="793" ht="12.0" customHeight="1">
      <c r="E793" s="151"/>
      <c r="F793" s="151"/>
      <c r="G793" s="151"/>
      <c r="H793" s="151"/>
    </row>
    <row r="794" ht="12.0" customHeight="1">
      <c r="E794" s="151"/>
      <c r="F794" s="151"/>
      <c r="G794" s="151"/>
      <c r="H794" s="151"/>
    </row>
    <row r="795" ht="12.0" customHeight="1">
      <c r="E795" s="151"/>
      <c r="F795" s="151"/>
      <c r="G795" s="151"/>
      <c r="H795" s="151"/>
    </row>
    <row r="796" ht="12.0" customHeight="1">
      <c r="E796" s="151"/>
      <c r="F796" s="151"/>
      <c r="G796" s="151"/>
      <c r="H796" s="151"/>
    </row>
    <row r="797" ht="12.0" customHeight="1">
      <c r="E797" s="151"/>
      <c r="F797" s="151"/>
      <c r="G797" s="151"/>
      <c r="H797" s="151"/>
    </row>
    <row r="798" ht="12.0" customHeight="1">
      <c r="E798" s="151"/>
      <c r="F798" s="151"/>
      <c r="G798" s="151"/>
      <c r="H798" s="151"/>
    </row>
    <row r="799" ht="12.0" customHeight="1">
      <c r="E799" s="151"/>
      <c r="F799" s="151"/>
      <c r="G799" s="151"/>
      <c r="H799" s="151"/>
    </row>
    <row r="800" ht="12.0" customHeight="1">
      <c r="E800" s="151"/>
      <c r="F800" s="151"/>
      <c r="G800" s="151"/>
      <c r="H800" s="151"/>
    </row>
    <row r="801" ht="12.0" customHeight="1">
      <c r="E801" s="151"/>
      <c r="F801" s="151"/>
      <c r="G801" s="151"/>
      <c r="H801" s="151"/>
    </row>
    <row r="802" ht="12.0" customHeight="1">
      <c r="E802" s="151"/>
      <c r="F802" s="151"/>
      <c r="G802" s="151"/>
      <c r="H802" s="151"/>
    </row>
    <row r="803" ht="12.0" customHeight="1">
      <c r="E803" s="151"/>
      <c r="F803" s="151"/>
      <c r="G803" s="151"/>
      <c r="H803" s="151"/>
    </row>
    <row r="804" ht="12.0" customHeight="1">
      <c r="E804" s="151"/>
      <c r="F804" s="151"/>
      <c r="G804" s="151"/>
      <c r="H804" s="151"/>
    </row>
    <row r="805" ht="12.0" customHeight="1">
      <c r="E805" s="151"/>
      <c r="F805" s="151"/>
      <c r="G805" s="151"/>
      <c r="H805" s="151"/>
    </row>
    <row r="806" ht="12.0" customHeight="1">
      <c r="E806" s="151"/>
      <c r="F806" s="151"/>
      <c r="G806" s="151"/>
      <c r="H806" s="151"/>
    </row>
    <row r="807" ht="12.0" customHeight="1">
      <c r="E807" s="151"/>
      <c r="F807" s="151"/>
      <c r="G807" s="151"/>
      <c r="H807" s="151"/>
    </row>
    <row r="808" ht="12.0" customHeight="1">
      <c r="E808" s="151"/>
      <c r="F808" s="151"/>
      <c r="G808" s="151"/>
      <c r="H808" s="151"/>
    </row>
    <row r="809" ht="12.0" customHeight="1">
      <c r="E809" s="151"/>
      <c r="F809" s="151"/>
      <c r="G809" s="151"/>
      <c r="H809" s="151"/>
    </row>
    <row r="810" ht="12.0" customHeight="1">
      <c r="E810" s="151"/>
      <c r="F810" s="151"/>
      <c r="G810" s="151"/>
      <c r="H810" s="151"/>
    </row>
    <row r="811" ht="12.0" customHeight="1">
      <c r="E811" s="151"/>
      <c r="F811" s="151"/>
      <c r="G811" s="151"/>
      <c r="H811" s="151"/>
    </row>
    <row r="812" ht="12.0" customHeight="1">
      <c r="E812" s="151"/>
      <c r="F812" s="151"/>
      <c r="G812" s="151"/>
      <c r="H812" s="151"/>
    </row>
    <row r="813" ht="12.0" customHeight="1">
      <c r="E813" s="151"/>
      <c r="F813" s="151"/>
      <c r="G813" s="151"/>
      <c r="H813" s="151"/>
    </row>
    <row r="814" ht="12.0" customHeight="1">
      <c r="E814" s="151"/>
      <c r="F814" s="151"/>
      <c r="G814" s="151"/>
      <c r="H814" s="151"/>
    </row>
    <row r="815" ht="12.0" customHeight="1">
      <c r="E815" s="151"/>
      <c r="F815" s="151"/>
      <c r="G815" s="151"/>
      <c r="H815" s="151"/>
    </row>
    <row r="816" ht="12.0" customHeight="1">
      <c r="E816" s="151"/>
      <c r="F816" s="151"/>
      <c r="G816" s="151"/>
      <c r="H816" s="151"/>
    </row>
    <row r="817" ht="12.0" customHeight="1">
      <c r="E817" s="151"/>
      <c r="F817" s="151"/>
      <c r="G817" s="151"/>
      <c r="H817" s="151"/>
    </row>
    <row r="818" ht="12.0" customHeight="1">
      <c r="E818" s="151"/>
      <c r="F818" s="151"/>
      <c r="G818" s="151"/>
      <c r="H818" s="151"/>
    </row>
    <row r="819" ht="12.0" customHeight="1">
      <c r="E819" s="151"/>
      <c r="F819" s="151"/>
      <c r="G819" s="151"/>
      <c r="H819" s="151"/>
    </row>
    <row r="820" ht="12.0" customHeight="1">
      <c r="E820" s="151"/>
      <c r="F820" s="151"/>
      <c r="G820" s="151"/>
      <c r="H820" s="151"/>
    </row>
    <row r="821" ht="12.0" customHeight="1">
      <c r="E821" s="151"/>
      <c r="F821" s="151"/>
      <c r="G821" s="151"/>
      <c r="H821" s="151"/>
    </row>
    <row r="822" ht="12.0" customHeight="1">
      <c r="E822" s="151"/>
      <c r="F822" s="151"/>
      <c r="G822" s="151"/>
      <c r="H822" s="151"/>
    </row>
    <row r="823" ht="12.0" customHeight="1">
      <c r="E823" s="151"/>
      <c r="F823" s="151"/>
      <c r="G823" s="151"/>
      <c r="H823" s="151"/>
    </row>
    <row r="824" ht="12.0" customHeight="1">
      <c r="E824" s="151"/>
      <c r="F824" s="151"/>
      <c r="G824" s="151"/>
      <c r="H824" s="151"/>
    </row>
    <row r="825" ht="12.0" customHeight="1">
      <c r="E825" s="151"/>
      <c r="F825" s="151"/>
      <c r="G825" s="151"/>
      <c r="H825" s="151"/>
    </row>
    <row r="826" ht="12.0" customHeight="1">
      <c r="E826" s="151"/>
      <c r="F826" s="151"/>
      <c r="G826" s="151"/>
      <c r="H826" s="151"/>
    </row>
    <row r="827" ht="12.0" customHeight="1">
      <c r="E827" s="151"/>
      <c r="F827" s="151"/>
      <c r="G827" s="151"/>
      <c r="H827" s="151"/>
    </row>
    <row r="828" ht="12.0" customHeight="1">
      <c r="E828" s="151"/>
      <c r="F828" s="151"/>
      <c r="G828" s="151"/>
      <c r="H828" s="151"/>
    </row>
    <row r="829" ht="12.0" customHeight="1">
      <c r="E829" s="151"/>
      <c r="F829" s="151"/>
      <c r="G829" s="151"/>
      <c r="H829" s="151"/>
    </row>
    <row r="830" ht="12.0" customHeight="1">
      <c r="E830" s="151"/>
      <c r="F830" s="151"/>
      <c r="G830" s="151"/>
      <c r="H830" s="151"/>
    </row>
    <row r="831" ht="12.0" customHeight="1">
      <c r="E831" s="151"/>
      <c r="F831" s="151"/>
      <c r="G831" s="151"/>
      <c r="H831" s="151"/>
    </row>
    <row r="832" ht="12.0" customHeight="1">
      <c r="E832" s="151"/>
      <c r="F832" s="151"/>
      <c r="G832" s="151"/>
      <c r="H832" s="151"/>
    </row>
    <row r="833" ht="12.0" customHeight="1">
      <c r="E833" s="151"/>
      <c r="F833" s="151"/>
      <c r="G833" s="151"/>
      <c r="H833" s="151"/>
    </row>
    <row r="834" ht="12.0" customHeight="1">
      <c r="E834" s="151"/>
      <c r="F834" s="151"/>
      <c r="G834" s="151"/>
      <c r="H834" s="151"/>
    </row>
    <row r="835" ht="12.0" customHeight="1">
      <c r="E835" s="151"/>
      <c r="F835" s="151"/>
      <c r="G835" s="151"/>
      <c r="H835" s="151"/>
    </row>
    <row r="836" ht="12.0" customHeight="1">
      <c r="E836" s="151"/>
      <c r="F836" s="151"/>
      <c r="G836" s="151"/>
      <c r="H836" s="151"/>
    </row>
    <row r="837" ht="12.0" customHeight="1">
      <c r="E837" s="151"/>
      <c r="F837" s="151"/>
      <c r="G837" s="151"/>
      <c r="H837" s="151"/>
    </row>
    <row r="838" ht="12.0" customHeight="1">
      <c r="E838" s="151"/>
      <c r="F838" s="151"/>
      <c r="G838" s="151"/>
      <c r="H838" s="151"/>
    </row>
    <row r="839" ht="12.0" customHeight="1">
      <c r="E839" s="151"/>
      <c r="F839" s="151"/>
      <c r="G839" s="151"/>
      <c r="H839" s="151"/>
    </row>
    <row r="840" ht="12.0" customHeight="1">
      <c r="E840" s="151"/>
      <c r="F840" s="151"/>
      <c r="G840" s="151"/>
      <c r="H840" s="151"/>
    </row>
    <row r="841" ht="12.0" customHeight="1">
      <c r="E841" s="151"/>
      <c r="F841" s="151"/>
      <c r="G841" s="151"/>
      <c r="H841" s="151"/>
    </row>
    <row r="842" ht="12.0" customHeight="1">
      <c r="E842" s="151"/>
      <c r="F842" s="151"/>
      <c r="G842" s="151"/>
      <c r="H842" s="151"/>
    </row>
    <row r="843" ht="12.0" customHeight="1">
      <c r="E843" s="151"/>
      <c r="F843" s="151"/>
      <c r="G843" s="151"/>
      <c r="H843" s="151"/>
    </row>
    <row r="844" ht="12.0" customHeight="1">
      <c r="E844" s="151"/>
      <c r="F844" s="151"/>
      <c r="G844" s="151"/>
      <c r="H844" s="151"/>
    </row>
    <row r="845" ht="12.0" customHeight="1">
      <c r="E845" s="151"/>
      <c r="F845" s="151"/>
      <c r="G845" s="151"/>
      <c r="H845" s="151"/>
    </row>
    <row r="846" ht="12.0" customHeight="1">
      <c r="E846" s="151"/>
      <c r="F846" s="151"/>
      <c r="G846" s="151"/>
      <c r="H846" s="151"/>
    </row>
    <row r="847" ht="12.0" customHeight="1">
      <c r="E847" s="151"/>
      <c r="F847" s="151"/>
      <c r="G847" s="151"/>
      <c r="H847" s="151"/>
    </row>
    <row r="848" ht="12.0" customHeight="1">
      <c r="E848" s="151"/>
      <c r="F848" s="151"/>
      <c r="G848" s="151"/>
      <c r="H848" s="151"/>
    </row>
    <row r="849" ht="12.0" customHeight="1">
      <c r="E849" s="151"/>
      <c r="F849" s="151"/>
      <c r="G849" s="151"/>
      <c r="H849" s="151"/>
    </row>
    <row r="850" ht="12.0" customHeight="1">
      <c r="E850" s="151"/>
      <c r="F850" s="151"/>
      <c r="G850" s="151"/>
      <c r="H850" s="151"/>
    </row>
    <row r="851" ht="12.0" customHeight="1">
      <c r="E851" s="151"/>
      <c r="F851" s="151"/>
      <c r="G851" s="151"/>
      <c r="H851" s="151"/>
    </row>
    <row r="852" ht="12.0" customHeight="1">
      <c r="E852" s="151"/>
      <c r="F852" s="151"/>
      <c r="G852" s="151"/>
      <c r="H852" s="151"/>
    </row>
    <row r="853" ht="12.0" customHeight="1">
      <c r="E853" s="151"/>
      <c r="F853" s="151"/>
      <c r="G853" s="151"/>
      <c r="H853" s="151"/>
    </row>
    <row r="854" ht="12.0" customHeight="1">
      <c r="E854" s="151"/>
      <c r="F854" s="151"/>
      <c r="G854" s="151"/>
      <c r="H854" s="151"/>
    </row>
    <row r="855" ht="12.0" customHeight="1">
      <c r="E855" s="151"/>
      <c r="F855" s="151"/>
      <c r="G855" s="151"/>
      <c r="H855" s="151"/>
    </row>
    <row r="856" ht="12.0" customHeight="1">
      <c r="E856" s="151"/>
      <c r="F856" s="151"/>
      <c r="G856" s="151"/>
      <c r="H856" s="151"/>
    </row>
    <row r="857" ht="12.0" customHeight="1">
      <c r="E857" s="151"/>
      <c r="F857" s="151"/>
      <c r="G857" s="151"/>
      <c r="H857" s="151"/>
    </row>
    <row r="858" ht="12.0" customHeight="1">
      <c r="E858" s="151"/>
      <c r="F858" s="151"/>
      <c r="G858" s="151"/>
      <c r="H858" s="151"/>
    </row>
    <row r="859" ht="12.0" customHeight="1">
      <c r="E859" s="151"/>
      <c r="F859" s="151"/>
      <c r="G859" s="151"/>
      <c r="H859" s="151"/>
    </row>
    <row r="860" ht="12.0" customHeight="1">
      <c r="E860" s="151"/>
      <c r="F860" s="151"/>
      <c r="G860" s="151"/>
      <c r="H860" s="151"/>
    </row>
    <row r="861" ht="12.0" customHeight="1">
      <c r="E861" s="151"/>
      <c r="F861" s="151"/>
      <c r="G861" s="151"/>
      <c r="H861" s="151"/>
    </row>
    <row r="862" ht="12.0" customHeight="1">
      <c r="E862" s="151"/>
      <c r="F862" s="151"/>
      <c r="G862" s="151"/>
      <c r="H862" s="151"/>
    </row>
    <row r="863" ht="12.0" customHeight="1">
      <c r="E863" s="151"/>
      <c r="F863" s="151"/>
      <c r="G863" s="151"/>
      <c r="H863" s="151"/>
    </row>
    <row r="864" ht="12.0" customHeight="1">
      <c r="E864" s="151"/>
      <c r="F864" s="151"/>
      <c r="G864" s="151"/>
      <c r="H864" s="151"/>
    </row>
    <row r="865" ht="12.0" customHeight="1">
      <c r="E865" s="151"/>
      <c r="F865" s="151"/>
      <c r="G865" s="151"/>
      <c r="H865" s="151"/>
    </row>
    <row r="866" ht="12.0" customHeight="1">
      <c r="E866" s="151"/>
      <c r="F866" s="151"/>
      <c r="G866" s="151"/>
      <c r="H866" s="151"/>
    </row>
    <row r="867" ht="12.0" customHeight="1">
      <c r="E867" s="151"/>
      <c r="F867" s="151"/>
      <c r="G867" s="151"/>
      <c r="H867" s="151"/>
    </row>
    <row r="868" ht="12.0" customHeight="1">
      <c r="E868" s="151"/>
      <c r="F868" s="151"/>
      <c r="G868" s="151"/>
      <c r="H868" s="151"/>
    </row>
    <row r="869" ht="12.0" customHeight="1">
      <c r="E869" s="151"/>
      <c r="F869" s="151"/>
      <c r="G869" s="151"/>
      <c r="H869" s="151"/>
    </row>
    <row r="870" ht="12.0" customHeight="1">
      <c r="E870" s="151"/>
      <c r="F870" s="151"/>
      <c r="G870" s="151"/>
      <c r="H870" s="151"/>
    </row>
    <row r="871" ht="12.0" customHeight="1">
      <c r="E871" s="151"/>
      <c r="F871" s="151"/>
      <c r="G871" s="151"/>
      <c r="H871" s="151"/>
    </row>
    <row r="872" ht="12.0" customHeight="1">
      <c r="E872" s="151"/>
      <c r="F872" s="151"/>
      <c r="G872" s="151"/>
      <c r="H872" s="151"/>
    </row>
    <row r="873" ht="12.0" customHeight="1">
      <c r="E873" s="151"/>
      <c r="F873" s="151"/>
      <c r="G873" s="151"/>
      <c r="H873" s="151"/>
    </row>
    <row r="874" ht="12.0" customHeight="1">
      <c r="E874" s="151"/>
      <c r="F874" s="151"/>
      <c r="G874" s="151"/>
      <c r="H874" s="151"/>
    </row>
    <row r="875" ht="12.0" customHeight="1">
      <c r="E875" s="151"/>
      <c r="F875" s="151"/>
      <c r="G875" s="151"/>
      <c r="H875" s="151"/>
    </row>
    <row r="876" ht="12.0" customHeight="1">
      <c r="E876" s="151"/>
      <c r="F876" s="151"/>
      <c r="G876" s="151"/>
      <c r="H876" s="151"/>
    </row>
    <row r="877" ht="12.0" customHeight="1">
      <c r="E877" s="151"/>
      <c r="F877" s="151"/>
      <c r="G877" s="151"/>
      <c r="H877" s="151"/>
    </row>
    <row r="878" ht="12.0" customHeight="1">
      <c r="E878" s="151"/>
      <c r="F878" s="151"/>
      <c r="G878" s="151"/>
      <c r="H878" s="151"/>
    </row>
    <row r="879" ht="12.0" customHeight="1">
      <c r="E879" s="151"/>
      <c r="F879" s="151"/>
      <c r="G879" s="151"/>
      <c r="H879" s="151"/>
    </row>
    <row r="880" ht="12.0" customHeight="1">
      <c r="E880" s="151"/>
      <c r="F880" s="151"/>
      <c r="G880" s="151"/>
      <c r="H880" s="151"/>
    </row>
    <row r="881" ht="12.0" customHeight="1">
      <c r="E881" s="151"/>
      <c r="F881" s="151"/>
      <c r="G881" s="151"/>
      <c r="H881" s="151"/>
    </row>
    <row r="882" ht="12.0" customHeight="1">
      <c r="E882" s="151"/>
      <c r="F882" s="151"/>
      <c r="G882" s="151"/>
      <c r="H882" s="151"/>
    </row>
    <row r="883" ht="12.0" customHeight="1">
      <c r="E883" s="151"/>
      <c r="F883" s="151"/>
      <c r="G883" s="151"/>
      <c r="H883" s="151"/>
    </row>
    <row r="884" ht="12.0" customHeight="1">
      <c r="E884" s="151"/>
      <c r="F884" s="151"/>
      <c r="G884" s="151"/>
      <c r="H884" s="151"/>
    </row>
    <row r="885" ht="12.0" customHeight="1">
      <c r="E885" s="151"/>
      <c r="F885" s="151"/>
      <c r="G885" s="151"/>
      <c r="H885" s="151"/>
    </row>
    <row r="886" ht="12.0" customHeight="1">
      <c r="E886" s="151"/>
      <c r="F886" s="151"/>
      <c r="G886" s="151"/>
      <c r="H886" s="151"/>
    </row>
    <row r="887" ht="12.0" customHeight="1">
      <c r="E887" s="151"/>
      <c r="F887" s="151"/>
      <c r="G887" s="151"/>
      <c r="H887" s="151"/>
    </row>
    <row r="888" ht="12.0" customHeight="1">
      <c r="E888" s="151"/>
      <c r="F888" s="151"/>
      <c r="G888" s="151"/>
      <c r="H888" s="151"/>
    </row>
    <row r="889" ht="12.0" customHeight="1">
      <c r="E889" s="151"/>
      <c r="F889" s="151"/>
      <c r="G889" s="151"/>
      <c r="H889" s="151"/>
    </row>
    <row r="890" ht="12.0" customHeight="1">
      <c r="E890" s="151"/>
      <c r="F890" s="151"/>
      <c r="G890" s="151"/>
      <c r="H890" s="151"/>
    </row>
    <row r="891" ht="12.0" customHeight="1">
      <c r="E891" s="151"/>
      <c r="F891" s="151"/>
      <c r="G891" s="151"/>
      <c r="H891" s="151"/>
    </row>
    <row r="892" ht="12.0" customHeight="1">
      <c r="E892" s="151"/>
      <c r="F892" s="151"/>
      <c r="G892" s="151"/>
      <c r="H892" s="151"/>
    </row>
    <row r="893" ht="12.0" customHeight="1">
      <c r="E893" s="151"/>
      <c r="F893" s="151"/>
      <c r="G893" s="151"/>
      <c r="H893" s="151"/>
    </row>
    <row r="894" ht="12.0" customHeight="1">
      <c r="E894" s="151"/>
      <c r="F894" s="151"/>
      <c r="G894" s="151"/>
      <c r="H894" s="151"/>
    </row>
    <row r="895" ht="12.0" customHeight="1">
      <c r="E895" s="151"/>
      <c r="F895" s="151"/>
      <c r="G895" s="151"/>
      <c r="H895" s="151"/>
    </row>
    <row r="896" ht="12.0" customHeight="1">
      <c r="E896" s="151"/>
      <c r="F896" s="151"/>
      <c r="G896" s="151"/>
      <c r="H896" s="151"/>
    </row>
    <row r="897" ht="12.0" customHeight="1">
      <c r="E897" s="151"/>
      <c r="F897" s="151"/>
      <c r="G897" s="151"/>
      <c r="H897" s="151"/>
    </row>
    <row r="898" ht="12.0" customHeight="1">
      <c r="E898" s="151"/>
      <c r="F898" s="151"/>
      <c r="G898" s="151"/>
      <c r="H898" s="151"/>
    </row>
    <row r="899" ht="12.0" customHeight="1">
      <c r="E899" s="151"/>
      <c r="F899" s="151"/>
      <c r="G899" s="151"/>
      <c r="H899" s="151"/>
    </row>
    <row r="900" ht="12.0" customHeight="1">
      <c r="E900" s="151"/>
      <c r="F900" s="151"/>
      <c r="G900" s="151"/>
      <c r="H900" s="151"/>
    </row>
    <row r="901" ht="12.0" customHeight="1">
      <c r="E901" s="151"/>
      <c r="F901" s="151"/>
      <c r="G901" s="151"/>
      <c r="H901" s="151"/>
    </row>
    <row r="902" ht="12.0" customHeight="1">
      <c r="E902" s="151"/>
      <c r="F902" s="151"/>
      <c r="G902" s="151"/>
      <c r="H902" s="151"/>
    </row>
    <row r="903" ht="12.0" customHeight="1">
      <c r="E903" s="151"/>
      <c r="F903" s="151"/>
      <c r="G903" s="151"/>
      <c r="H903" s="151"/>
    </row>
    <row r="904" ht="12.0" customHeight="1">
      <c r="E904" s="151"/>
      <c r="F904" s="151"/>
      <c r="G904" s="151"/>
      <c r="H904" s="151"/>
    </row>
    <row r="905" ht="12.0" customHeight="1">
      <c r="E905" s="151"/>
      <c r="F905" s="151"/>
      <c r="G905" s="151"/>
      <c r="H905" s="151"/>
    </row>
    <row r="906" ht="12.0" customHeight="1">
      <c r="E906" s="151"/>
      <c r="F906" s="151"/>
      <c r="G906" s="151"/>
      <c r="H906" s="151"/>
    </row>
    <row r="907" ht="12.0" customHeight="1">
      <c r="E907" s="151"/>
      <c r="F907" s="151"/>
      <c r="G907" s="151"/>
      <c r="H907" s="151"/>
    </row>
    <row r="908" ht="12.0" customHeight="1">
      <c r="E908" s="151"/>
      <c r="F908" s="151"/>
      <c r="G908" s="151"/>
      <c r="H908" s="151"/>
    </row>
    <row r="909" ht="12.0" customHeight="1">
      <c r="E909" s="151"/>
      <c r="F909" s="151"/>
      <c r="G909" s="151"/>
      <c r="H909" s="151"/>
    </row>
    <row r="910" ht="12.0" customHeight="1">
      <c r="E910" s="151"/>
      <c r="F910" s="151"/>
      <c r="G910" s="151"/>
      <c r="H910" s="151"/>
    </row>
    <row r="911" ht="12.0" customHeight="1">
      <c r="E911" s="151"/>
      <c r="F911" s="151"/>
      <c r="G911" s="151"/>
      <c r="H911" s="151"/>
    </row>
    <row r="912" ht="12.0" customHeight="1">
      <c r="E912" s="151"/>
      <c r="F912" s="151"/>
      <c r="G912" s="151"/>
      <c r="H912" s="151"/>
    </row>
    <row r="913" ht="12.0" customHeight="1">
      <c r="E913" s="151"/>
      <c r="F913" s="151"/>
      <c r="G913" s="151"/>
      <c r="H913" s="151"/>
    </row>
    <row r="914" ht="12.0" customHeight="1">
      <c r="E914" s="151"/>
      <c r="F914" s="151"/>
      <c r="G914" s="151"/>
      <c r="H914" s="151"/>
    </row>
    <row r="915" ht="12.0" customHeight="1">
      <c r="E915" s="151"/>
      <c r="F915" s="151"/>
      <c r="G915" s="151"/>
      <c r="H915" s="151"/>
    </row>
    <row r="916" ht="12.0" customHeight="1">
      <c r="E916" s="151"/>
      <c r="F916" s="151"/>
      <c r="G916" s="151"/>
      <c r="H916" s="151"/>
    </row>
    <row r="917" ht="12.0" customHeight="1">
      <c r="E917" s="151"/>
      <c r="F917" s="151"/>
      <c r="G917" s="151"/>
      <c r="H917" s="151"/>
    </row>
    <row r="918" ht="12.0" customHeight="1">
      <c r="E918" s="151"/>
      <c r="F918" s="151"/>
      <c r="G918" s="151"/>
      <c r="H918" s="151"/>
    </row>
    <row r="919" ht="12.0" customHeight="1">
      <c r="E919" s="151"/>
      <c r="F919" s="151"/>
      <c r="G919" s="151"/>
      <c r="H919" s="151"/>
    </row>
    <row r="920" ht="12.0" customHeight="1">
      <c r="E920" s="151"/>
      <c r="F920" s="151"/>
      <c r="G920" s="151"/>
      <c r="H920" s="151"/>
    </row>
    <row r="921" ht="12.0" customHeight="1">
      <c r="E921" s="151"/>
      <c r="F921" s="151"/>
      <c r="G921" s="151"/>
      <c r="H921" s="151"/>
    </row>
    <row r="922" ht="12.0" customHeight="1">
      <c r="E922" s="151"/>
      <c r="F922" s="151"/>
      <c r="G922" s="151"/>
      <c r="H922" s="151"/>
    </row>
    <row r="923" ht="12.0" customHeight="1">
      <c r="E923" s="151"/>
      <c r="F923" s="151"/>
      <c r="G923" s="151"/>
      <c r="H923" s="151"/>
    </row>
    <row r="924" ht="12.0" customHeight="1">
      <c r="E924" s="151"/>
      <c r="F924" s="151"/>
      <c r="G924" s="151"/>
      <c r="H924" s="151"/>
    </row>
    <row r="925" ht="12.0" customHeight="1">
      <c r="E925" s="151"/>
      <c r="F925" s="151"/>
      <c r="G925" s="151"/>
      <c r="H925" s="151"/>
    </row>
    <row r="926" ht="12.0" customHeight="1">
      <c r="E926" s="151"/>
      <c r="F926" s="151"/>
      <c r="G926" s="151"/>
      <c r="H926" s="151"/>
    </row>
    <row r="927" ht="12.0" customHeight="1">
      <c r="E927" s="151"/>
      <c r="F927" s="151"/>
      <c r="G927" s="151"/>
      <c r="H927" s="151"/>
    </row>
    <row r="928" ht="12.0" customHeight="1">
      <c r="E928" s="151"/>
      <c r="F928" s="151"/>
      <c r="G928" s="151"/>
      <c r="H928" s="151"/>
    </row>
    <row r="929" ht="12.0" customHeight="1">
      <c r="E929" s="151"/>
      <c r="F929" s="151"/>
      <c r="G929" s="151"/>
      <c r="H929" s="151"/>
    </row>
    <row r="930" ht="12.0" customHeight="1">
      <c r="E930" s="151"/>
      <c r="F930" s="151"/>
      <c r="G930" s="151"/>
      <c r="H930" s="151"/>
    </row>
    <row r="931" ht="12.0" customHeight="1">
      <c r="E931" s="151"/>
      <c r="F931" s="151"/>
      <c r="G931" s="151"/>
      <c r="H931" s="151"/>
    </row>
    <row r="932" ht="12.0" customHeight="1">
      <c r="E932" s="151"/>
      <c r="F932" s="151"/>
      <c r="G932" s="151"/>
      <c r="H932" s="151"/>
    </row>
    <row r="933" ht="12.0" customHeight="1">
      <c r="E933" s="151"/>
      <c r="F933" s="151"/>
      <c r="G933" s="151"/>
      <c r="H933" s="151"/>
    </row>
    <row r="934" ht="12.0" customHeight="1">
      <c r="E934" s="151"/>
      <c r="F934" s="151"/>
      <c r="G934" s="151"/>
      <c r="H934" s="151"/>
    </row>
    <row r="935" ht="12.0" customHeight="1">
      <c r="E935" s="151"/>
      <c r="F935" s="151"/>
      <c r="G935" s="151"/>
      <c r="H935" s="151"/>
    </row>
    <row r="936" ht="12.0" customHeight="1">
      <c r="E936" s="151"/>
      <c r="F936" s="151"/>
      <c r="G936" s="151"/>
      <c r="H936" s="151"/>
    </row>
    <row r="937" ht="12.0" customHeight="1">
      <c r="E937" s="151"/>
      <c r="F937" s="151"/>
      <c r="G937" s="151"/>
      <c r="H937" s="151"/>
    </row>
    <row r="938" ht="12.0" customHeight="1">
      <c r="E938" s="151"/>
      <c r="F938" s="151"/>
      <c r="G938" s="151"/>
      <c r="H938" s="151"/>
    </row>
    <row r="939" ht="12.0" customHeight="1">
      <c r="E939" s="151"/>
      <c r="F939" s="151"/>
      <c r="G939" s="151"/>
      <c r="H939" s="151"/>
    </row>
    <row r="940" ht="12.0" customHeight="1">
      <c r="E940" s="151"/>
      <c r="F940" s="151"/>
      <c r="G940" s="151"/>
      <c r="H940" s="151"/>
    </row>
    <row r="941" ht="12.0" customHeight="1">
      <c r="E941" s="151"/>
      <c r="F941" s="151"/>
      <c r="G941" s="151"/>
      <c r="H941" s="151"/>
    </row>
    <row r="942" ht="12.0" customHeight="1">
      <c r="E942" s="151"/>
      <c r="F942" s="151"/>
      <c r="G942" s="151"/>
      <c r="H942" s="151"/>
    </row>
    <row r="943" ht="12.0" customHeight="1">
      <c r="E943" s="151"/>
      <c r="F943" s="151"/>
      <c r="G943" s="151"/>
      <c r="H943" s="151"/>
    </row>
    <row r="944" ht="12.0" customHeight="1">
      <c r="E944" s="151"/>
      <c r="F944" s="151"/>
      <c r="G944" s="151"/>
      <c r="H944" s="151"/>
    </row>
    <row r="945" ht="12.0" customHeight="1">
      <c r="E945" s="151"/>
      <c r="F945" s="151"/>
      <c r="G945" s="151"/>
      <c r="H945" s="151"/>
    </row>
    <row r="946" ht="12.0" customHeight="1">
      <c r="E946" s="151"/>
      <c r="F946" s="151"/>
      <c r="G946" s="151"/>
      <c r="H946" s="151"/>
    </row>
    <row r="947" ht="12.0" customHeight="1">
      <c r="E947" s="151"/>
      <c r="F947" s="151"/>
      <c r="G947" s="151"/>
      <c r="H947" s="151"/>
    </row>
    <row r="948" ht="12.0" customHeight="1">
      <c r="E948" s="151"/>
      <c r="F948" s="151"/>
      <c r="G948" s="151"/>
      <c r="H948" s="151"/>
    </row>
    <row r="949" ht="12.0" customHeight="1">
      <c r="E949" s="151"/>
      <c r="F949" s="151"/>
      <c r="G949" s="151"/>
      <c r="H949" s="151"/>
    </row>
    <row r="950" ht="12.0" customHeight="1">
      <c r="E950" s="151"/>
      <c r="F950" s="151"/>
      <c r="G950" s="151"/>
      <c r="H950" s="151"/>
    </row>
    <row r="951" ht="12.0" customHeight="1">
      <c r="E951" s="151"/>
      <c r="F951" s="151"/>
      <c r="G951" s="151"/>
      <c r="H951" s="151"/>
    </row>
    <row r="952" ht="12.0" customHeight="1">
      <c r="E952" s="151"/>
      <c r="F952" s="151"/>
      <c r="G952" s="151"/>
      <c r="H952" s="151"/>
    </row>
    <row r="953" ht="12.0" customHeight="1">
      <c r="E953" s="151"/>
      <c r="F953" s="151"/>
      <c r="G953" s="151"/>
      <c r="H953" s="151"/>
    </row>
    <row r="954" ht="12.0" customHeight="1">
      <c r="E954" s="151"/>
      <c r="F954" s="151"/>
      <c r="G954" s="151"/>
      <c r="H954" s="151"/>
    </row>
    <row r="955" ht="12.0" customHeight="1">
      <c r="E955" s="151"/>
      <c r="F955" s="151"/>
      <c r="G955" s="151"/>
      <c r="H955" s="151"/>
    </row>
    <row r="956" ht="12.0" customHeight="1">
      <c r="E956" s="151"/>
      <c r="F956" s="151"/>
      <c r="G956" s="151"/>
      <c r="H956" s="151"/>
    </row>
    <row r="957" ht="12.0" customHeight="1">
      <c r="E957" s="151"/>
      <c r="F957" s="151"/>
      <c r="G957" s="151"/>
      <c r="H957" s="151"/>
    </row>
    <row r="958" ht="12.0" customHeight="1">
      <c r="E958" s="151"/>
      <c r="F958" s="151"/>
      <c r="G958" s="151"/>
      <c r="H958" s="151"/>
    </row>
    <row r="959" ht="12.0" customHeight="1">
      <c r="E959" s="151"/>
      <c r="F959" s="151"/>
      <c r="G959" s="151"/>
      <c r="H959" s="151"/>
    </row>
    <row r="960" ht="12.0" customHeight="1">
      <c r="E960" s="151"/>
      <c r="F960" s="151"/>
      <c r="G960" s="151"/>
      <c r="H960" s="151"/>
    </row>
    <row r="961" ht="12.0" customHeight="1">
      <c r="E961" s="151"/>
      <c r="F961" s="151"/>
      <c r="G961" s="151"/>
      <c r="H961" s="151"/>
    </row>
    <row r="962" ht="12.0" customHeight="1">
      <c r="E962" s="151"/>
      <c r="F962" s="151"/>
      <c r="G962" s="151"/>
      <c r="H962" s="151"/>
    </row>
    <row r="963" ht="12.0" customHeight="1">
      <c r="E963" s="151"/>
      <c r="F963" s="151"/>
      <c r="G963" s="151"/>
      <c r="H963" s="151"/>
    </row>
    <row r="964" ht="12.0" customHeight="1">
      <c r="E964" s="151"/>
      <c r="F964" s="151"/>
      <c r="G964" s="151"/>
      <c r="H964" s="151"/>
    </row>
    <row r="965" ht="12.0" customHeight="1">
      <c r="E965" s="151"/>
      <c r="F965" s="151"/>
      <c r="G965" s="151"/>
      <c r="H965" s="151"/>
    </row>
    <row r="966" ht="12.0" customHeight="1">
      <c r="E966" s="151"/>
      <c r="F966" s="151"/>
      <c r="G966" s="151"/>
      <c r="H966" s="151"/>
    </row>
    <row r="967" ht="12.0" customHeight="1">
      <c r="E967" s="151"/>
      <c r="F967" s="151"/>
      <c r="G967" s="151"/>
      <c r="H967" s="151"/>
    </row>
    <row r="968" ht="12.0" customHeight="1">
      <c r="E968" s="151"/>
      <c r="F968" s="151"/>
      <c r="G968" s="151"/>
      <c r="H968" s="151"/>
    </row>
    <row r="969" ht="12.0" customHeight="1">
      <c r="E969" s="151"/>
      <c r="F969" s="151"/>
      <c r="G969" s="151"/>
      <c r="H969" s="151"/>
    </row>
    <row r="970" ht="12.0" customHeight="1">
      <c r="E970" s="151"/>
      <c r="F970" s="151"/>
      <c r="G970" s="151"/>
      <c r="H970" s="151"/>
    </row>
    <row r="971" ht="12.0" customHeight="1">
      <c r="E971" s="151"/>
      <c r="F971" s="151"/>
      <c r="G971" s="151"/>
      <c r="H971" s="151"/>
    </row>
    <row r="972" ht="12.0" customHeight="1">
      <c r="E972" s="151"/>
      <c r="F972" s="151"/>
      <c r="G972" s="151"/>
      <c r="H972" s="151"/>
    </row>
    <row r="973" ht="12.0" customHeight="1">
      <c r="E973" s="151"/>
      <c r="F973" s="151"/>
      <c r="G973" s="151"/>
      <c r="H973" s="151"/>
    </row>
    <row r="974" ht="12.0" customHeight="1">
      <c r="E974" s="151"/>
      <c r="F974" s="151"/>
      <c r="G974" s="151"/>
      <c r="H974" s="151"/>
    </row>
    <row r="975" ht="12.0" customHeight="1">
      <c r="E975" s="151"/>
      <c r="F975" s="151"/>
      <c r="G975" s="151"/>
      <c r="H975" s="151"/>
    </row>
    <row r="976" ht="12.0" customHeight="1">
      <c r="E976" s="151"/>
      <c r="F976" s="151"/>
      <c r="G976" s="151"/>
      <c r="H976" s="151"/>
    </row>
    <row r="977" ht="12.0" customHeight="1">
      <c r="E977" s="151"/>
      <c r="F977" s="151"/>
      <c r="G977" s="151"/>
      <c r="H977" s="151"/>
    </row>
    <row r="978" ht="12.0" customHeight="1">
      <c r="E978" s="151"/>
      <c r="F978" s="151"/>
      <c r="G978" s="151"/>
      <c r="H978" s="151"/>
    </row>
    <row r="979" ht="12.0" customHeight="1">
      <c r="E979" s="151"/>
      <c r="F979" s="151"/>
      <c r="G979" s="151"/>
      <c r="H979" s="151"/>
    </row>
    <row r="980" ht="12.0" customHeight="1">
      <c r="E980" s="151"/>
      <c r="F980" s="151"/>
      <c r="G980" s="151"/>
      <c r="H980" s="151"/>
    </row>
    <row r="981" ht="12.0" customHeight="1">
      <c r="E981" s="151"/>
      <c r="F981" s="151"/>
      <c r="G981" s="151"/>
      <c r="H981" s="151"/>
    </row>
    <row r="982" ht="12.0" customHeight="1">
      <c r="E982" s="151"/>
      <c r="F982" s="151"/>
      <c r="G982" s="151"/>
      <c r="H982" s="151"/>
    </row>
    <row r="983" ht="12.0" customHeight="1">
      <c r="E983" s="151"/>
      <c r="F983" s="151"/>
      <c r="G983" s="151"/>
      <c r="H983" s="151"/>
    </row>
    <row r="984" ht="12.0" customHeight="1">
      <c r="E984" s="151"/>
      <c r="F984" s="151"/>
      <c r="G984" s="151"/>
      <c r="H984" s="151"/>
    </row>
    <row r="985" ht="12.0" customHeight="1">
      <c r="E985" s="151"/>
      <c r="F985" s="151"/>
      <c r="G985" s="151"/>
      <c r="H985" s="151"/>
    </row>
    <row r="986" ht="12.0" customHeight="1">
      <c r="E986" s="151"/>
      <c r="F986" s="151"/>
      <c r="G986" s="151"/>
      <c r="H986" s="151"/>
    </row>
    <row r="987" ht="12.0" customHeight="1">
      <c r="E987" s="151"/>
      <c r="F987" s="151"/>
      <c r="G987" s="151"/>
      <c r="H987" s="151"/>
    </row>
    <row r="988" ht="12.0" customHeight="1">
      <c r="E988" s="151"/>
      <c r="F988" s="151"/>
      <c r="G988" s="151"/>
      <c r="H988" s="151"/>
    </row>
    <row r="989" ht="12.0" customHeight="1">
      <c r="E989" s="151"/>
      <c r="F989" s="151"/>
      <c r="G989" s="151"/>
      <c r="H989" s="151"/>
    </row>
    <row r="990" ht="12.0" customHeight="1">
      <c r="E990" s="151"/>
      <c r="F990" s="151"/>
      <c r="G990" s="151"/>
      <c r="H990" s="151"/>
    </row>
    <row r="991" ht="12.0" customHeight="1">
      <c r="E991" s="151"/>
      <c r="F991" s="151"/>
      <c r="G991" s="151"/>
      <c r="H991" s="151"/>
    </row>
    <row r="992" ht="12.0" customHeight="1">
      <c r="E992" s="151"/>
      <c r="F992" s="151"/>
      <c r="G992" s="151"/>
      <c r="H992" s="151"/>
    </row>
    <row r="993" ht="12.0" customHeight="1">
      <c r="E993" s="151"/>
      <c r="F993" s="151"/>
      <c r="G993" s="151"/>
      <c r="H993" s="151"/>
    </row>
    <row r="994" ht="12.0" customHeight="1">
      <c r="E994" s="151"/>
      <c r="F994" s="151"/>
      <c r="G994" s="151"/>
      <c r="H994" s="151"/>
    </row>
    <row r="995" ht="12.0" customHeight="1">
      <c r="E995" s="151"/>
      <c r="F995" s="151"/>
      <c r="G995" s="151"/>
      <c r="H995" s="151"/>
    </row>
    <row r="996" ht="12.0" customHeight="1">
      <c r="E996" s="151"/>
      <c r="F996" s="151"/>
      <c r="G996" s="151"/>
      <c r="H996" s="151"/>
    </row>
    <row r="997" ht="12.0" customHeight="1">
      <c r="E997" s="151"/>
      <c r="F997" s="151"/>
      <c r="G997" s="151"/>
      <c r="H997" s="151"/>
    </row>
    <row r="998" ht="12.0" customHeight="1">
      <c r="E998" s="151"/>
      <c r="F998" s="151"/>
      <c r="G998" s="151"/>
      <c r="H998" s="151"/>
    </row>
    <row r="999" ht="12.0" customHeight="1">
      <c r="E999" s="151"/>
      <c r="F999" s="151"/>
      <c r="G999" s="151"/>
      <c r="H999" s="151"/>
    </row>
    <row r="1000" ht="12.0" customHeight="1">
      <c r="E1000" s="151"/>
      <c r="F1000" s="151"/>
      <c r="G1000" s="151"/>
      <c r="H1000" s="151"/>
    </row>
  </sheetData>
  <mergeCells count="29">
    <mergeCell ref="A1:G1"/>
    <mergeCell ref="A2:G2"/>
    <mergeCell ref="A6:B6"/>
    <mergeCell ref="A7:E7"/>
    <mergeCell ref="A8:E8"/>
    <mergeCell ref="I8:K8"/>
    <mergeCell ref="A9:G9"/>
    <mergeCell ref="E26:F34"/>
    <mergeCell ref="E36:F45"/>
    <mergeCell ref="G36:I55"/>
    <mergeCell ref="E47:F55"/>
    <mergeCell ref="E57:F66"/>
    <mergeCell ref="G57:I76"/>
    <mergeCell ref="E68:F76"/>
    <mergeCell ref="A46:F46"/>
    <mergeCell ref="A67:F67"/>
    <mergeCell ref="A83:D83"/>
    <mergeCell ref="A96:C96"/>
    <mergeCell ref="C100:C108"/>
    <mergeCell ref="C109:C117"/>
    <mergeCell ref="C118:C126"/>
    <mergeCell ref="A128:C128"/>
    <mergeCell ref="A10:D10"/>
    <mergeCell ref="A11:D11"/>
    <mergeCell ref="A14:D14"/>
    <mergeCell ref="E15:F24"/>
    <mergeCell ref="G15:I34"/>
    <mergeCell ref="A25:F25"/>
    <mergeCell ref="A35:D35"/>
  </mergeCells>
  <conditionalFormatting sqref="D16">
    <cfRule type="containsText" dxfId="2" priority="1" operator="containsText" text="INACCESSIBLE">
      <formula>NOT(ISERROR(SEARCH(("INACCESSIBLE"),(D16))))</formula>
    </cfRule>
  </conditionalFormatting>
  <conditionalFormatting sqref="D17:D24">
    <cfRule type="containsText" dxfId="2" priority="2" operator="containsText" text="INACCESSIBLE">
      <formula>NOT(ISERROR(SEARCH(("INACCESSIBLE"),(D17))))</formula>
    </cfRule>
  </conditionalFormatting>
  <conditionalFormatting sqref="A1:G1">
    <cfRule type="containsText" dxfId="4" priority="3" operator="containsText" text="This">
      <formula>NOT(ISERROR(SEARCH(("This"),(A1))))</formula>
    </cfRule>
  </conditionalFormatting>
  <conditionalFormatting sqref="A1:G1">
    <cfRule type="containsText" dxfId="5" priority="4" operator="containsText" text="ALERT">
      <formula>NOT(ISERROR(SEARCH(("ALERT"),(A1))))</formula>
    </cfRule>
  </conditionalFormatting>
  <conditionalFormatting sqref="D48:D55">
    <cfRule type="beginsWith" dxfId="3" priority="5" operator="beginsWith" text="PROTECTED">
      <formula>LEFT((D48),LEN("PROTECTED"))=("PROTECTED")</formula>
    </cfRule>
  </conditionalFormatting>
  <conditionalFormatting sqref="D37">
    <cfRule type="containsText" dxfId="2" priority="6" operator="containsText" text="INACCESSIBLE">
      <formula>NOT(ISERROR(SEARCH(("INACCESSIBLE"),(D37))))</formula>
    </cfRule>
  </conditionalFormatting>
  <conditionalFormatting sqref="D38:D46">
    <cfRule type="containsText" dxfId="2" priority="7" operator="containsText" text="INACCESSIBLE">
      <formula>NOT(ISERROR(SEARCH(("INACCESSIBLE"),(D38))))</formula>
    </cfRule>
  </conditionalFormatting>
  <conditionalFormatting sqref="D69:D76">
    <cfRule type="beginsWith" dxfId="3" priority="8" operator="beginsWith" text="PROTECTED">
      <formula>LEFT((D69),LEN("PROTECTED"))=("PROTECTED")</formula>
    </cfRule>
  </conditionalFormatting>
  <conditionalFormatting sqref="D27:D34">
    <cfRule type="beginsWith" dxfId="3" priority="9" operator="beginsWith" text="PROTECTED">
      <formula>LEFT((D27),LEN("PROTECTED"))=("PROTECTED")</formula>
    </cfRule>
  </conditionalFormatting>
  <conditionalFormatting sqref="D58">
    <cfRule type="containsText" dxfId="2" priority="10" operator="containsText" text="INACCESSIBLE">
      <formula>NOT(ISERROR(SEARCH(("INACCESSIBLE"),(D58))))</formula>
    </cfRule>
  </conditionalFormatting>
  <conditionalFormatting sqref="D59:D67">
    <cfRule type="containsText" dxfId="2" priority="11" operator="containsText" text="INACCESSIBLE">
      <formula>NOT(ISERROR(SEARCH(("INACCESSIBLE"),(D59))))</formula>
    </cfRule>
  </conditionalFormatting>
  <conditionalFormatting sqref="D25">
    <cfRule type="containsText" dxfId="2" priority="12" operator="containsText" text="INACCESSIBLE">
      <formula>NOT(ISERROR(SEARCH(("INACCESSIBLE"),(D25))))</formula>
    </cfRule>
  </conditionalFormatting>
  <dataValidations>
    <dataValidation type="list" allowBlank="1" showErrorMessage="1" sqref="D13">
      <formula1>"8.0,16.0,32.0,64.0"</formula1>
    </dataValidation>
    <dataValidation type="list" allowBlank="1" showErrorMessage="1" sqref="D69:D76">
      <formula1>"PROTECTED,UNPROTECTED"</formula1>
    </dataValidation>
  </dataValidation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29"/>
    <col customWidth="1" min="2" max="2" width="15.57"/>
    <col customWidth="1" min="3" max="3" width="6.0"/>
    <col customWidth="1" min="4" max="4" width="13.14"/>
    <col customWidth="1" min="5" max="5" width="98.14"/>
    <col customWidth="1" min="6" max="26" width="8.71"/>
  </cols>
  <sheetData>
    <row r="1" ht="12.75" customHeight="1">
      <c r="A1" s="530" t="str">
        <f>"#  Version "&amp;'Revision History'!B3</f>
        <v>#  Version 6</v>
      </c>
      <c r="B1" s="531"/>
      <c r="C1" s="532"/>
      <c r="D1" s="531"/>
      <c r="E1" s="532"/>
    </row>
    <row r="2" ht="12.75" customHeight="1">
      <c r="A2" s="532" t="s">
        <v>9</v>
      </c>
      <c r="B2" s="531"/>
      <c r="C2" s="532"/>
      <c r="D2" s="531"/>
      <c r="E2" s="532"/>
    </row>
    <row r="3" ht="12.75" customHeight="1">
      <c r="A3" s="532" t="s">
        <v>10</v>
      </c>
      <c r="B3" s="531"/>
      <c r="C3" s="532"/>
      <c r="D3" s="531"/>
      <c r="E3" s="532"/>
    </row>
    <row r="4" ht="12.75" customHeight="1">
      <c r="A4" s="532" t="s">
        <v>11</v>
      </c>
      <c r="B4" s="531"/>
      <c r="C4" s="532"/>
      <c r="D4" s="531"/>
      <c r="E4" s="532"/>
    </row>
    <row r="5" ht="12.75" customHeight="1">
      <c r="A5" s="532" t="s">
        <v>12</v>
      </c>
      <c r="B5" s="531"/>
      <c r="C5" s="532"/>
      <c r="D5" s="531"/>
      <c r="E5" s="532"/>
    </row>
    <row r="6" ht="12.75" customHeight="1">
      <c r="A6" s="532" t="s">
        <v>13</v>
      </c>
      <c r="B6" s="531"/>
      <c r="C6" s="532"/>
      <c r="D6" s="531"/>
      <c r="E6" s="532"/>
    </row>
    <row r="7" ht="12.75" customHeight="1">
      <c r="A7" s="532" t="s">
        <v>949</v>
      </c>
      <c r="B7" s="531"/>
      <c r="C7" s="532"/>
      <c r="D7" s="531"/>
      <c r="E7" s="532"/>
    </row>
    <row r="8" ht="12.75" customHeight="1">
      <c r="A8" s="532" t="s">
        <v>950</v>
      </c>
      <c r="B8" s="531"/>
      <c r="C8" s="532"/>
      <c r="D8" s="531"/>
      <c r="E8" s="532"/>
    </row>
    <row r="9" ht="12.75" customHeight="1">
      <c r="A9" s="532" t="s">
        <v>951</v>
      </c>
      <c r="B9" s="531"/>
      <c r="C9" s="532"/>
      <c r="D9" s="531"/>
      <c r="E9" s="532"/>
    </row>
    <row r="10" ht="12.75" customHeight="1">
      <c r="A10" s="532" t="s">
        <v>952</v>
      </c>
      <c r="B10" s="531"/>
      <c r="C10" s="532"/>
      <c r="D10" s="531"/>
      <c r="E10" s="532"/>
    </row>
    <row r="11" ht="12.75" customHeight="1">
      <c r="A11" s="532" t="s">
        <v>953</v>
      </c>
      <c r="B11" s="531"/>
      <c r="C11" s="532"/>
      <c r="D11" s="531"/>
      <c r="E11" s="532"/>
    </row>
    <row r="12" ht="12.75" customHeight="1">
      <c r="A12" s="532" t="s">
        <v>954</v>
      </c>
      <c r="B12" s="531"/>
      <c r="C12" s="532"/>
      <c r="D12" s="531"/>
      <c r="E12" s="532"/>
    </row>
    <row r="13" ht="12.75" customHeight="1">
      <c r="A13" s="532" t="s">
        <v>955</v>
      </c>
      <c r="B13" s="531"/>
      <c r="C13" s="532"/>
      <c r="D13" s="531"/>
      <c r="E13" s="532"/>
    </row>
    <row r="14" ht="12.75" customHeight="1">
      <c r="A14" s="532" t="s">
        <v>956</v>
      </c>
      <c r="B14" s="531"/>
      <c r="C14" s="532"/>
      <c r="D14" s="531"/>
      <c r="E14" s="532"/>
    </row>
    <row r="15" ht="12.75" customHeight="1">
      <c r="A15" s="532"/>
      <c r="B15" s="531"/>
      <c r="C15" s="532"/>
      <c r="D15" s="531"/>
      <c r="E15" s="532"/>
    </row>
    <row r="16" ht="12.75" customHeight="1">
      <c r="A16" s="532" t="s">
        <v>957</v>
      </c>
      <c r="B16" s="531" t="s">
        <v>958</v>
      </c>
      <c r="C16" s="532"/>
      <c r="D16" s="531">
        <v>3.0</v>
      </c>
      <c r="E16" s="532" t="s">
        <v>959</v>
      </c>
    </row>
    <row r="17" ht="12.75" customHeight="1">
      <c r="A17" s="532"/>
      <c r="B17" s="531"/>
      <c r="C17" s="532"/>
      <c r="D17" s="531"/>
      <c r="E17" s="532"/>
    </row>
    <row r="18" ht="12.75" customHeight="1">
      <c r="A18" s="532" t="s">
        <v>960</v>
      </c>
      <c r="B18" s="531"/>
      <c r="C18" s="532"/>
      <c r="D18" s="531"/>
      <c r="E18" s="532"/>
    </row>
    <row r="19" ht="12.75" customHeight="1">
      <c r="A19" s="532" t="s">
        <v>961</v>
      </c>
      <c r="B19" s="531"/>
      <c r="C19" s="532"/>
      <c r="D19" s="531"/>
      <c r="E19" s="532"/>
    </row>
    <row r="20" ht="12.75" customHeight="1">
      <c r="A20" s="532" t="s">
        <v>962</v>
      </c>
      <c r="B20" s="531"/>
      <c r="C20" s="532"/>
      <c r="D20" s="531"/>
      <c r="E20" s="532"/>
    </row>
    <row r="21" ht="12.75" customHeight="1">
      <c r="A21" s="532" t="s">
        <v>963</v>
      </c>
      <c r="B21" s="533" t="str">
        <f>"0x30330"&amp;IF('Register Configuration'!F32=1, "220", IF('Register Configuration'!F32=2, "228", IF('Register Configuration'!F32=3, "230", "238")))</f>
        <v>0x30330228</v>
      </c>
      <c r="C21" s="534">
        <v>32.0</v>
      </c>
      <c r="D21" s="531" t="s">
        <v>964</v>
      </c>
      <c r="E21" s="532" t="str">
        <f>"#IOMUXC_SW_MUX_UART"&amp;('Register Configuration'!F32)&amp;"_RXD"</f>
        <v>#IOMUXC_SW_MUX_UART2_RXD</v>
      </c>
    </row>
    <row r="22" ht="12.75" customHeight="1">
      <c r="A22" s="532" t="s">
        <v>963</v>
      </c>
      <c r="B22" s="533" t="str">
        <f>"0x30330"&amp;IF('Register Configuration'!F32=1, "224", IF('Register Configuration'!F32=2, "22C", IF('Register Configuration'!F32=3, "234", "23C")))</f>
        <v>0x3033022C</v>
      </c>
      <c r="C22" s="534">
        <v>32.0</v>
      </c>
      <c r="D22" s="531" t="s">
        <v>965</v>
      </c>
      <c r="E22" s="532" t="str">
        <f>"#IOMUXC_SW_MUX_UART"&amp;('Register Configuration'!F32)&amp;"_TXD"</f>
        <v>#IOMUXC_SW_MUX_UART2_TXD</v>
      </c>
    </row>
    <row r="23" ht="12.75" customHeight="1">
      <c r="A23" s="532" t="s">
        <v>963</v>
      </c>
      <c r="B23" s="533" t="str">
        <f>"0x30330"&amp;IF('Register Configuration'!F32=1, "480", IF('Register Configuration'!F32=2, "488", IF('Register Configuration'!F32=3, "490", "498")))</f>
        <v>0x30330488</v>
      </c>
      <c r="C23" s="534">
        <v>32.0</v>
      </c>
      <c r="D23" s="531" t="s">
        <v>966</v>
      </c>
      <c r="E23" s="532" t="str">
        <f>"#IOMUXC_SW_PAD_UART"&amp;('Register Configuration'!F32)&amp;"_RXD"</f>
        <v>#IOMUXC_SW_PAD_UART2_RXD</v>
      </c>
    </row>
    <row r="24" ht="12.75" customHeight="1">
      <c r="A24" s="532" t="s">
        <v>963</v>
      </c>
      <c r="B24" s="533" t="str">
        <f>"0x30330"&amp;IF('Register Configuration'!F32=1, "484", IF('Register Configuration'!F32=2, "48C", IF('Register Configuration'!F32=3, "494", "49C")))</f>
        <v>0x3033048C</v>
      </c>
      <c r="C24" s="534">
        <v>32.0</v>
      </c>
      <c r="D24" s="531" t="s">
        <v>966</v>
      </c>
      <c r="E24" s="532" t="str">
        <f>"#IOMUXC_SW_PAD_UART"&amp;('Register Configuration'!F32)&amp;"_TXD"</f>
        <v>#IOMUXC_SW_PAD_UART2_TXD</v>
      </c>
    </row>
    <row r="25" ht="12.75" customHeight="1">
      <c r="A25" s="532" t="s">
        <v>963</v>
      </c>
      <c r="B25" s="533" t="str">
        <f>"0x30330"&amp;IF('Register Configuration'!F32=1, "5E8", IF('Register Configuration'!F32=2, "5F0", IF('Register Configuration'!F32=3, "5F8", "600")))</f>
        <v>0x303305F0</v>
      </c>
      <c r="C25" s="534">
        <v>32.0</v>
      </c>
      <c r="D25" s="533" t="str">
        <f>IF('Register Configuration'!F32=1, "0x00000004", IF('Register Configuration'!F32=2, "0x00000006", IF('Register Configuration'!F32=3, "0x00000006", "0x00000008")))</f>
        <v>0x00000006</v>
      </c>
      <c r="E25" s="532" t="str">
        <f>"#IOMUXC_SW_MUX_UART"&amp;('Register Configuration'!F32)&amp;"_SEL_RXD"</f>
        <v>#IOMUXC_SW_MUX_UART2_SEL_RXD</v>
      </c>
    </row>
    <row r="26" ht="12.75" customHeight="1">
      <c r="A26" s="532" t="s">
        <v>967</v>
      </c>
      <c r="B26" s="531" t="s">
        <v>968</v>
      </c>
      <c r="C26" s="534"/>
      <c r="D26" s="533">
        <f>'Register Configuration'!F32 - 1</f>
        <v>1</v>
      </c>
      <c r="E26" s="532" t="s">
        <v>969</v>
      </c>
    </row>
    <row r="27" ht="12.75" customHeight="1">
      <c r="A27" s="532"/>
      <c r="B27" s="531"/>
      <c r="C27" s="532"/>
      <c r="D27" s="531"/>
      <c r="E27" s="532"/>
    </row>
    <row r="28" ht="12.75" customHeight="1">
      <c r="A28" s="532" t="s">
        <v>970</v>
      </c>
      <c r="B28" s="531"/>
      <c r="C28" s="532"/>
      <c r="D28" s="531"/>
      <c r="E28" s="532"/>
    </row>
    <row r="29" ht="12.75" customHeight="1">
      <c r="A29" s="532" t="s">
        <v>963</v>
      </c>
      <c r="B29" s="531" t="s">
        <v>971</v>
      </c>
      <c r="C29" s="535">
        <v>32.0</v>
      </c>
      <c r="D29" s="531" t="s">
        <v>972</v>
      </c>
      <c r="E29" s="532" t="s">
        <v>973</v>
      </c>
    </row>
    <row r="30" ht="12.75" customHeight="1">
      <c r="A30" s="532" t="s">
        <v>963</v>
      </c>
      <c r="B30" s="531" t="s">
        <v>971</v>
      </c>
      <c r="C30" s="535">
        <v>32.0</v>
      </c>
      <c r="D30" s="531" t="s">
        <v>974</v>
      </c>
      <c r="E30" s="532" t="s">
        <v>975</v>
      </c>
    </row>
    <row r="31" ht="12.75" customHeight="1">
      <c r="A31" s="532"/>
      <c r="B31" s="531"/>
      <c r="C31" s="535"/>
      <c r="D31" s="531"/>
      <c r="E31" s="532"/>
    </row>
    <row r="32" ht="12.75" customHeight="1">
      <c r="A32" s="532" t="s">
        <v>963</v>
      </c>
      <c r="B32" s="531" t="s">
        <v>976</v>
      </c>
      <c r="C32" s="535">
        <v>32.0</v>
      </c>
      <c r="D32" s="531" t="s">
        <v>977</v>
      </c>
      <c r="E32" s="532" t="s">
        <v>978</v>
      </c>
    </row>
    <row r="33" ht="12.75" customHeight="1">
      <c r="A33" s="532" t="s">
        <v>963</v>
      </c>
      <c r="B33" s="531" t="s">
        <v>979</v>
      </c>
      <c r="C33" s="535">
        <v>32.0</v>
      </c>
      <c r="D33" s="531" t="s">
        <v>980</v>
      </c>
      <c r="E33" s="532" t="s">
        <v>981</v>
      </c>
    </row>
    <row r="34" ht="12.75" customHeight="1">
      <c r="A34" s="532"/>
      <c r="B34" s="531"/>
      <c r="C34" s="535"/>
      <c r="D34" s="531"/>
      <c r="E34" s="532"/>
    </row>
    <row r="35" ht="12.75" customHeight="1">
      <c r="A35" s="532" t="s">
        <v>982</v>
      </c>
      <c r="B35" s="531"/>
      <c r="C35" s="535"/>
      <c r="D35" s="531"/>
      <c r="E35" s="532"/>
    </row>
    <row r="36" ht="12.75" customHeight="1">
      <c r="A36" s="532" t="s">
        <v>963</v>
      </c>
      <c r="B36" s="531" t="s">
        <v>983</v>
      </c>
      <c r="C36" s="535">
        <v>32.0</v>
      </c>
      <c r="D36" s="531" t="s">
        <v>984</v>
      </c>
      <c r="E36" s="532" t="s">
        <v>985</v>
      </c>
    </row>
    <row r="37" ht="12.75" customHeight="1">
      <c r="A37" s="532" t="s">
        <v>986</v>
      </c>
      <c r="B37" s="531" t="s">
        <v>987</v>
      </c>
      <c r="C37" s="535">
        <v>32.0</v>
      </c>
      <c r="D37" s="531" t="s">
        <v>988</v>
      </c>
      <c r="E37" s="532" t="s">
        <v>989</v>
      </c>
    </row>
    <row r="38" ht="12.75" customHeight="1">
      <c r="A38" s="532"/>
      <c r="B38" s="531"/>
      <c r="C38" s="535"/>
      <c r="D38" s="531"/>
      <c r="E38" s="532"/>
    </row>
    <row r="39" ht="12.75" customHeight="1">
      <c r="A39" s="532" t="s">
        <v>963</v>
      </c>
      <c r="B39" s="531" t="s">
        <v>990</v>
      </c>
      <c r="C39" s="535">
        <v>32.0</v>
      </c>
      <c r="D39" s="531" t="s">
        <v>991</v>
      </c>
      <c r="E39" s="532" t="s">
        <v>992</v>
      </c>
    </row>
    <row r="40" ht="12.75" customHeight="1">
      <c r="A40" s="532"/>
      <c r="B40" s="531"/>
      <c r="C40" s="535"/>
      <c r="D40" s="531"/>
      <c r="E40" s="532"/>
    </row>
    <row r="41" ht="12.75" customHeight="1">
      <c r="A41" s="532" t="s">
        <v>993</v>
      </c>
      <c r="B41" s="531"/>
      <c r="C41" s="535"/>
      <c r="D41" s="531"/>
      <c r="E41" s="532"/>
    </row>
    <row r="42" ht="12.75" customHeight="1">
      <c r="A42" s="532" t="s">
        <v>994</v>
      </c>
      <c r="B42" s="531"/>
      <c r="C42" s="535"/>
      <c r="D42" s="531"/>
      <c r="E42" s="532"/>
      <c r="F42" s="26"/>
      <c r="G42" s="26"/>
      <c r="H42" s="26"/>
      <c r="I42" s="26"/>
      <c r="J42" s="26"/>
      <c r="K42" s="26"/>
      <c r="L42" s="26"/>
      <c r="M42" s="26"/>
      <c r="N42" s="26"/>
      <c r="O42" s="26"/>
      <c r="P42" s="26"/>
      <c r="Q42" s="26"/>
      <c r="R42" s="26"/>
      <c r="S42" s="26"/>
      <c r="T42" s="26"/>
      <c r="U42" s="26"/>
      <c r="V42" s="26"/>
      <c r="W42" s="26"/>
      <c r="X42" s="26"/>
      <c r="Y42" s="26"/>
      <c r="Z42" s="26"/>
    </row>
    <row r="43" ht="12.75" customHeight="1">
      <c r="A43" s="532" t="s">
        <v>995</v>
      </c>
      <c r="B43" s="531"/>
      <c r="C43" s="535"/>
      <c r="D43" s="531"/>
      <c r="E43" s="532"/>
      <c r="F43" s="26"/>
      <c r="G43" s="26"/>
      <c r="H43" s="26"/>
      <c r="I43" s="26"/>
      <c r="J43" s="26"/>
      <c r="K43" s="26"/>
      <c r="L43" s="26"/>
      <c r="M43" s="26"/>
      <c r="N43" s="26"/>
      <c r="O43" s="26"/>
      <c r="P43" s="26"/>
      <c r="Q43" s="26"/>
      <c r="R43" s="26"/>
      <c r="S43" s="26"/>
      <c r="T43" s="26"/>
      <c r="U43" s="26"/>
      <c r="V43" s="26"/>
      <c r="W43" s="26"/>
      <c r="X43" s="26"/>
      <c r="Y43" s="26"/>
      <c r="Z43" s="26"/>
    </row>
    <row r="44" ht="12.75" customHeight="1">
      <c r="A44" s="532" t="s">
        <v>996</v>
      </c>
      <c r="B44" s="531"/>
      <c r="C44" s="535"/>
      <c r="D44" s="531"/>
      <c r="E44" s="532"/>
      <c r="F44" s="26"/>
      <c r="G44" s="26"/>
      <c r="H44" s="26"/>
      <c r="I44" s="26"/>
      <c r="J44" s="26"/>
      <c r="K44" s="26"/>
      <c r="L44" s="26"/>
      <c r="M44" s="26"/>
      <c r="N44" s="26"/>
      <c r="O44" s="26"/>
      <c r="P44" s="26"/>
      <c r="Q44" s="26"/>
      <c r="R44" s="26"/>
      <c r="S44" s="26"/>
      <c r="T44" s="26"/>
      <c r="U44" s="26"/>
      <c r="V44" s="26"/>
      <c r="W44" s="26"/>
      <c r="X44" s="26"/>
      <c r="Y44" s="26"/>
      <c r="Z44" s="26"/>
    </row>
    <row r="45" ht="12.75" customHeight="1">
      <c r="A45" s="532" t="s">
        <v>963</v>
      </c>
      <c r="B45" s="531" t="s">
        <v>997</v>
      </c>
      <c r="C45" s="535">
        <v>32.0</v>
      </c>
      <c r="D45" s="533" t="str">
        <f>IF('Register Configuration'!C29=1500,"0xFA080",(IF('Register Configuration'!C29=2000,"0xFA031","TBD")))</f>
        <v>0xFA031</v>
      </c>
      <c r="E45" s="532" t="s">
        <v>998</v>
      </c>
    </row>
    <row r="46" ht="12.75" customHeight="1">
      <c r="A46" s="532" t="s">
        <v>963</v>
      </c>
      <c r="B46" s="531" t="s">
        <v>999</v>
      </c>
      <c r="C46" s="535">
        <v>32.0</v>
      </c>
      <c r="D46" s="531" t="s">
        <v>965</v>
      </c>
      <c r="E46" s="532" t="s">
        <v>1000</v>
      </c>
    </row>
    <row r="47" ht="12.75" customHeight="1">
      <c r="A47" s="532" t="s">
        <v>1001</v>
      </c>
      <c r="B47" s="531" t="s">
        <v>1002</v>
      </c>
      <c r="C47" s="535">
        <v>32.0</v>
      </c>
      <c r="D47" s="531" t="s">
        <v>1003</v>
      </c>
      <c r="E47" s="532" t="s">
        <v>1004</v>
      </c>
    </row>
    <row r="48" ht="12.75" customHeight="1">
      <c r="A48" s="532" t="s">
        <v>1005</v>
      </c>
      <c r="B48" s="531" t="s">
        <v>1002</v>
      </c>
      <c r="C48" s="535">
        <v>32.0</v>
      </c>
      <c r="D48" s="531" t="s">
        <v>1006</v>
      </c>
      <c r="E48" s="532" t="s">
        <v>1007</v>
      </c>
    </row>
    <row r="49" ht="12.75" customHeight="1">
      <c r="A49" s="532" t="s">
        <v>1008</v>
      </c>
      <c r="B49" s="531" t="s">
        <v>1002</v>
      </c>
      <c r="C49" s="535">
        <v>32.0</v>
      </c>
      <c r="D49" s="531" t="s">
        <v>1009</v>
      </c>
      <c r="E49" s="532" t="s">
        <v>1010</v>
      </c>
    </row>
    <row r="50" ht="12.75" customHeight="1">
      <c r="A50" s="532"/>
      <c r="B50" s="531"/>
      <c r="C50" s="535"/>
      <c r="D50" s="531"/>
      <c r="E50" s="532"/>
    </row>
    <row r="51" ht="12.75" customHeight="1">
      <c r="A51" s="532" t="s">
        <v>963</v>
      </c>
      <c r="B51" s="531" t="s">
        <v>971</v>
      </c>
      <c r="C51" s="535">
        <v>32.0</v>
      </c>
      <c r="D51" s="531" t="s">
        <v>1011</v>
      </c>
      <c r="E51" s="532"/>
    </row>
    <row r="52" ht="12.75" customHeight="1">
      <c r="A52" s="532"/>
      <c r="B52" s="531"/>
      <c r="C52" s="535"/>
      <c r="D52" s="531"/>
      <c r="E52" s="532"/>
    </row>
    <row r="53" ht="12.75" customHeight="1">
      <c r="A53" s="532" t="s">
        <v>1012</v>
      </c>
      <c r="B53" s="531"/>
      <c r="C53" s="532"/>
      <c r="D53" s="531"/>
      <c r="E53" s="532"/>
    </row>
    <row r="54" ht="12.75" customHeight="1">
      <c r="A54" s="532" t="s">
        <v>1013</v>
      </c>
      <c r="B54" s="531" t="s">
        <v>1014</v>
      </c>
      <c r="C54" s="535">
        <v>32.0</v>
      </c>
      <c r="D54" s="531" t="s">
        <v>1015</v>
      </c>
      <c r="E54" s="532" t="s">
        <v>1016</v>
      </c>
    </row>
    <row r="55" ht="12.75" customHeight="1">
      <c r="A55" s="532" t="s">
        <v>1013</v>
      </c>
      <c r="B55" s="531" t="s">
        <v>1017</v>
      </c>
      <c r="C55" s="535">
        <v>32.0</v>
      </c>
      <c r="D55" s="531" t="s">
        <v>1015</v>
      </c>
      <c r="E55" s="532" t="s">
        <v>1018</v>
      </c>
    </row>
    <row r="56" ht="12.75" customHeight="1">
      <c r="A56" s="532" t="s">
        <v>1013</v>
      </c>
      <c r="B56" s="533" t="str">
        <f>'Register Configuration'!H45</f>
        <v>0x3D400000</v>
      </c>
      <c r="C56" s="535">
        <v>32.0</v>
      </c>
      <c r="D56" s="533" t="str">
        <f>'Register Configuration'!I45</f>
        <v>0xA1080020</v>
      </c>
      <c r="E56" s="532" t="s">
        <v>1019</v>
      </c>
    </row>
    <row r="57" ht="12.75" customHeight="1">
      <c r="A57" s="532" t="s">
        <v>1013</v>
      </c>
      <c r="B57" s="533" t="str">
        <f>'Register Configuration'!H179</f>
        <v>0x3D400020</v>
      </c>
      <c r="C57" s="535">
        <v>32.0</v>
      </c>
      <c r="D57" s="533" t="str">
        <f>'Register Configuration'!I179</f>
        <v>0x00001333</v>
      </c>
      <c r="E57" s="532" t="s">
        <v>1020</v>
      </c>
    </row>
    <row r="58" ht="12.75" customHeight="1">
      <c r="A58" s="532" t="s">
        <v>1013</v>
      </c>
      <c r="B58" s="533" t="str">
        <f>'Register Configuration'!H186</f>
        <v>0x3D400024</v>
      </c>
      <c r="C58" s="535">
        <v>32.0</v>
      </c>
      <c r="D58" s="533" t="str">
        <f>'Register Configuration'!I186</f>
        <v>0x01E84800</v>
      </c>
      <c r="E58" s="532" t="s">
        <v>1021</v>
      </c>
    </row>
    <row r="59" ht="12.75" customHeight="1">
      <c r="A59" s="532" t="s">
        <v>1013</v>
      </c>
      <c r="B59" s="533" t="str">
        <f>'Register Configuration'!H99</f>
        <v>0x3D400064</v>
      </c>
      <c r="C59" s="535">
        <v>32.0</v>
      </c>
      <c r="D59" s="533" t="str">
        <f>'Register Configuration'!I99</f>
        <v>0x007A017C</v>
      </c>
      <c r="E59" s="532" t="s">
        <v>1022</v>
      </c>
    </row>
    <row r="60" ht="12.75" customHeight="1">
      <c r="A60" s="532"/>
      <c r="B60" s="531"/>
      <c r="C60" s="535"/>
      <c r="D60" s="531"/>
      <c r="E60" s="532"/>
    </row>
    <row r="61" ht="12.75" customHeight="1">
      <c r="A61" s="532" t="s">
        <v>1013</v>
      </c>
      <c r="B61" s="531" t="s">
        <v>440</v>
      </c>
      <c r="C61" s="535">
        <v>32.0</v>
      </c>
      <c r="D61" s="533" t="str">
        <f>'Register Configuration'!I248</f>
        <v>0x61027F10</v>
      </c>
      <c r="E61" s="532" t="s">
        <v>1023</v>
      </c>
    </row>
    <row r="62" ht="12.75" customHeight="1">
      <c r="A62" s="532" t="s">
        <v>1013</v>
      </c>
      <c r="B62" s="531" t="s">
        <v>464</v>
      </c>
      <c r="C62" s="535">
        <v>32.0</v>
      </c>
      <c r="D62" s="533" t="str">
        <f>'Register Configuration'!I260</f>
        <v>0x000007B0</v>
      </c>
      <c r="E62" s="532" t="s">
        <v>1024</v>
      </c>
    </row>
    <row r="63" ht="12.75" customHeight="1">
      <c r="A63" s="532"/>
      <c r="B63" s="531"/>
      <c r="C63" s="535"/>
      <c r="D63" s="531"/>
      <c r="E63" s="532"/>
    </row>
    <row r="64" ht="12.75" customHeight="1">
      <c r="A64" s="532" t="s">
        <v>1013</v>
      </c>
      <c r="B64" s="533" t="str">
        <f>'Register Configuration'!H103</f>
        <v>0x3D4000D0</v>
      </c>
      <c r="C64" s="535">
        <v>32.0</v>
      </c>
      <c r="D64" s="533" t="str">
        <f>'Register Configuration'!I103</f>
        <v>0xC00307A3</v>
      </c>
      <c r="E64" s="532" t="s">
        <v>1025</v>
      </c>
    </row>
    <row r="65" ht="12.75" customHeight="1">
      <c r="A65" s="532" t="s">
        <v>1013</v>
      </c>
      <c r="B65" s="533" t="str">
        <f>'Register Configuration'!H107</f>
        <v>0x3D4000D4</v>
      </c>
      <c r="C65" s="535">
        <v>32.0</v>
      </c>
      <c r="D65" s="533" t="str">
        <f>'Register Configuration'!I107</f>
        <v>0x00C50000</v>
      </c>
      <c r="E65" s="532" t="s">
        <v>1026</v>
      </c>
    </row>
    <row r="66" ht="12.75" customHeight="1">
      <c r="A66" s="532" t="s">
        <v>1013</v>
      </c>
      <c r="B66" s="533" t="str">
        <f>'Register Configuration'!H209</f>
        <v>0x3D4000DC</v>
      </c>
      <c r="C66" s="535">
        <v>32.0</v>
      </c>
      <c r="D66" s="533" t="str">
        <f>'Register Configuration'!I209</f>
        <v>0x00F4003F</v>
      </c>
      <c r="E66" s="532" t="s">
        <v>1027</v>
      </c>
    </row>
    <row r="67" ht="12.75" customHeight="1">
      <c r="A67" s="532" t="s">
        <v>1013</v>
      </c>
      <c r="B67" s="533" t="str">
        <f>'Register Configuration'!H221</f>
        <v>0x3D4000E0</v>
      </c>
      <c r="C67" s="535">
        <v>32.0</v>
      </c>
      <c r="D67" s="533" t="str">
        <f>'Register Configuration'!I221</f>
        <v>0x00330000</v>
      </c>
      <c r="E67" s="532" t="s">
        <v>1028</v>
      </c>
    </row>
    <row r="68" ht="12.75" customHeight="1">
      <c r="A68" s="532" t="s">
        <v>1013</v>
      </c>
      <c r="B68" s="533" t="str">
        <f>'Register Configuration'!H236</f>
        <v>0x3D4000E8</v>
      </c>
      <c r="C68" s="535">
        <v>32.0</v>
      </c>
      <c r="D68" s="533" t="str">
        <f>'Register Configuration'!I236</f>
        <v>0x00660048</v>
      </c>
      <c r="E68" s="532" t="s">
        <v>1029</v>
      </c>
    </row>
    <row r="69" ht="12.75" customHeight="1">
      <c r="A69" s="532" t="s">
        <v>1013</v>
      </c>
      <c r="B69" s="533" t="str">
        <f>'Register Configuration'!H241</f>
        <v>0x3D4000EC</v>
      </c>
      <c r="C69" s="535">
        <v>32.0</v>
      </c>
      <c r="D69" s="533" t="str">
        <f>'Register Configuration'!I241</f>
        <v>0x00160048</v>
      </c>
      <c r="E69" s="532" t="s">
        <v>1030</v>
      </c>
    </row>
    <row r="70" ht="12.75" customHeight="1">
      <c r="A70" s="532"/>
      <c r="B70" s="531"/>
      <c r="C70" s="532"/>
      <c r="D70" s="531"/>
      <c r="E70" s="532"/>
    </row>
    <row r="71" ht="12.75" customHeight="1">
      <c r="A71" s="532" t="s">
        <v>963</v>
      </c>
      <c r="B71" s="533" t="str">
        <f>'Register Configuration'!H116</f>
        <v>0x3D400100</v>
      </c>
      <c r="C71" s="535">
        <v>32.0</v>
      </c>
      <c r="D71" s="533" t="str">
        <f>'Register Configuration'!I116</f>
        <v>0x2028222A</v>
      </c>
      <c r="E71" s="532" t="s">
        <v>1031</v>
      </c>
    </row>
    <row r="72" ht="12.75" customHeight="1">
      <c r="A72" s="532" t="s">
        <v>963</v>
      </c>
      <c r="B72" s="533" t="str">
        <f>'Register Configuration'!H121</f>
        <v>0x3D400104</v>
      </c>
      <c r="C72" s="535">
        <v>32.0</v>
      </c>
      <c r="D72" s="533" t="str">
        <f>'Register Configuration'!I121</f>
        <v>0x0008083F</v>
      </c>
      <c r="E72" s="532" t="s">
        <v>1032</v>
      </c>
    </row>
    <row r="73" ht="12.75" customHeight="1">
      <c r="A73" s="532" t="s">
        <v>963</v>
      </c>
      <c r="B73" s="533" t="str">
        <f>'Register Configuration'!H132</f>
        <v>0x3D40010C</v>
      </c>
      <c r="C73" s="535">
        <v>32.0</v>
      </c>
      <c r="D73" s="533" t="str">
        <f>'Register Configuration'!I132</f>
        <v>0x00E0E000</v>
      </c>
      <c r="E73" s="532" t="s">
        <v>1033</v>
      </c>
    </row>
    <row r="74" ht="12.75" customHeight="1">
      <c r="A74" s="532" t="s">
        <v>963</v>
      </c>
      <c r="B74" s="533" t="str">
        <f>'Register Configuration'!H136</f>
        <v>0x3D400110</v>
      </c>
      <c r="C74" s="535">
        <v>32.0</v>
      </c>
      <c r="D74" s="533" t="str">
        <f>'Register Configuration'!I136</f>
        <v>0x12040A12</v>
      </c>
      <c r="E74" s="532" t="s">
        <v>1034</v>
      </c>
    </row>
    <row r="75" ht="12.75" customHeight="1">
      <c r="A75" s="532" t="s">
        <v>963</v>
      </c>
      <c r="B75" s="533" t="str">
        <f>'Register Configuration'!H141</f>
        <v>0x3D400114</v>
      </c>
      <c r="C75" s="535">
        <v>32.0</v>
      </c>
      <c r="D75" s="533" t="str">
        <f>'Register Configuration'!I141</f>
        <v>0x02050F0F</v>
      </c>
      <c r="E75" s="532" t="s">
        <v>1035</v>
      </c>
    </row>
    <row r="76" ht="12.75" customHeight="1">
      <c r="A76" s="532" t="s">
        <v>963</v>
      </c>
      <c r="B76" s="533" t="str">
        <f>'Register Configuration'!H147</f>
        <v>0x3D400118</v>
      </c>
      <c r="C76" s="535">
        <v>32.0</v>
      </c>
      <c r="D76" s="533" t="str">
        <f>'Register Configuration'!I147</f>
        <v>0x01010009</v>
      </c>
      <c r="E76" s="532" t="s">
        <v>1036</v>
      </c>
    </row>
    <row r="77" ht="12.75" customHeight="1">
      <c r="A77" s="532" t="s">
        <v>963</v>
      </c>
      <c r="B77" s="533" t="str">
        <f>'Register Configuration'!H152</f>
        <v>0x3D40011C</v>
      </c>
      <c r="C77" s="535">
        <v>32.0</v>
      </c>
      <c r="D77" s="533" t="str">
        <f>'Register Configuration'!I152</f>
        <v>0x00000501</v>
      </c>
      <c r="E77" s="532" t="s">
        <v>1037</v>
      </c>
    </row>
    <row r="78" ht="12.75" customHeight="1">
      <c r="A78" s="532" t="s">
        <v>963</v>
      </c>
      <c r="B78" s="533" t="str">
        <f>'Register Configuration'!H155</f>
        <v>0x3D400130</v>
      </c>
      <c r="C78" s="535">
        <v>32.0</v>
      </c>
      <c r="D78" s="533" t="str">
        <f>'Register Configuration'!I155</f>
        <v>0x00020800</v>
      </c>
      <c r="E78" s="532" t="s">
        <v>1038</v>
      </c>
    </row>
    <row r="79" ht="12.75" customHeight="1">
      <c r="A79" s="532" t="s">
        <v>963</v>
      </c>
      <c r="B79" s="533" t="str">
        <f>'Register Configuration'!H159</f>
        <v>0x3D400134</v>
      </c>
      <c r="C79" s="535">
        <v>32.0</v>
      </c>
      <c r="D79" s="533" t="str">
        <f>'Register Configuration'!I159</f>
        <v>0x0E100002</v>
      </c>
      <c r="E79" s="532" t="s">
        <v>1039</v>
      </c>
    </row>
    <row r="80" ht="12.75" customHeight="1">
      <c r="A80" s="532" t="s">
        <v>963</v>
      </c>
      <c r="B80" s="533" t="str">
        <f>'Register Configuration'!H163</f>
        <v>0x3D400138</v>
      </c>
      <c r="C80" s="535">
        <v>32.0</v>
      </c>
      <c r="D80" s="533" t="str">
        <f>'Register Configuration'!I163</f>
        <v>0x00000184</v>
      </c>
      <c r="E80" s="532" t="s">
        <v>1040</v>
      </c>
    </row>
    <row r="81" ht="12.75" customHeight="1">
      <c r="A81" s="532" t="s">
        <v>963</v>
      </c>
      <c r="B81" s="533" t="str">
        <f>'Register Configuration'!H165</f>
        <v>0x3D400144</v>
      </c>
      <c r="C81" s="535">
        <v>32.0</v>
      </c>
      <c r="D81" s="533" t="str">
        <f>'Register Configuration'!I165</f>
        <v>0x00C80064</v>
      </c>
      <c r="E81" s="532" t="s">
        <v>1041</v>
      </c>
    </row>
    <row r="82" ht="12.75" customHeight="1">
      <c r="A82" s="532"/>
      <c r="B82" s="531"/>
      <c r="C82" s="535"/>
      <c r="D82" s="531"/>
      <c r="E82" s="532"/>
      <c r="F82" s="26"/>
      <c r="G82" s="26"/>
      <c r="H82" s="26"/>
      <c r="I82" s="26"/>
      <c r="J82" s="26"/>
      <c r="K82" s="26"/>
      <c r="L82" s="26"/>
      <c r="M82" s="26"/>
      <c r="N82" s="26"/>
      <c r="O82" s="26"/>
      <c r="P82" s="26"/>
      <c r="Q82" s="26"/>
      <c r="R82" s="26"/>
      <c r="S82" s="26"/>
      <c r="T82" s="26"/>
      <c r="U82" s="26"/>
      <c r="V82" s="26"/>
      <c r="W82" s="26"/>
      <c r="X82" s="26"/>
      <c r="Y82" s="26"/>
      <c r="Z82" s="26"/>
    </row>
    <row r="83" ht="12.75" customHeight="1">
      <c r="A83" s="532" t="s">
        <v>963</v>
      </c>
      <c r="B83" s="533" t="str">
        <f>'Register Configuration'!H168</f>
        <v>0x3D400180</v>
      </c>
      <c r="C83" s="535">
        <v>32.0</v>
      </c>
      <c r="D83" s="533" t="str">
        <f>'Register Configuration'!I168</f>
        <v>0x03E8001E</v>
      </c>
      <c r="E83" s="532" t="s">
        <v>1042</v>
      </c>
    </row>
    <row r="84" ht="12.75" customHeight="1">
      <c r="A84" s="532" t="s">
        <v>963</v>
      </c>
      <c r="B84" s="533" t="str">
        <f>'Register Configuration'!H176</f>
        <v>0x3D400184</v>
      </c>
      <c r="C84" s="535">
        <v>32.0</v>
      </c>
      <c r="D84" s="533" t="str">
        <f>'Register Configuration'!I176</f>
        <v>0x03207A12</v>
      </c>
      <c r="E84" s="532" t="s">
        <v>1043</v>
      </c>
    </row>
    <row r="85" ht="12.75" customHeight="1">
      <c r="A85" s="532" t="s">
        <v>963</v>
      </c>
      <c r="B85" s="531" t="s">
        <v>1044</v>
      </c>
      <c r="C85" s="535">
        <v>32.0</v>
      </c>
      <c r="D85" s="531" t="s">
        <v>965</v>
      </c>
      <c r="E85" s="532" t="s">
        <v>1045</v>
      </c>
      <c r="F85" s="26"/>
      <c r="G85" s="26"/>
      <c r="H85" s="26"/>
      <c r="I85" s="26"/>
      <c r="J85" s="26"/>
      <c r="K85" s="26"/>
      <c r="L85" s="26"/>
      <c r="M85" s="26"/>
      <c r="N85" s="26"/>
      <c r="O85" s="26"/>
      <c r="P85" s="26"/>
      <c r="Q85" s="26"/>
      <c r="R85" s="26"/>
      <c r="S85" s="26"/>
      <c r="T85" s="26"/>
      <c r="U85" s="26"/>
      <c r="V85" s="26"/>
      <c r="W85" s="26"/>
      <c r="X85" s="26"/>
      <c r="Y85" s="26"/>
      <c r="Z85" s="26"/>
    </row>
    <row r="86" ht="12.75" customHeight="1">
      <c r="A86" s="532"/>
      <c r="B86" s="531"/>
      <c r="C86" s="535"/>
      <c r="D86" s="531"/>
      <c r="E86" s="532"/>
      <c r="F86" s="26"/>
      <c r="G86" s="26"/>
      <c r="H86" s="26"/>
      <c r="I86" s="26"/>
      <c r="J86" s="26"/>
      <c r="K86" s="26"/>
      <c r="L86" s="26"/>
      <c r="M86" s="26"/>
      <c r="N86" s="26"/>
      <c r="O86" s="26"/>
      <c r="P86" s="26"/>
      <c r="Q86" s="26"/>
      <c r="R86" s="26"/>
      <c r="S86" s="26"/>
      <c r="T86" s="26"/>
      <c r="U86" s="26"/>
      <c r="V86" s="26"/>
      <c r="W86" s="26"/>
      <c r="X86" s="26"/>
      <c r="Y86" s="26"/>
      <c r="Z86" s="26"/>
    </row>
    <row r="87" ht="12.75" customHeight="1">
      <c r="A87" s="532" t="s">
        <v>963</v>
      </c>
      <c r="B87" s="533" t="str">
        <f>'Register Configuration'!H272</f>
        <v>0x3D400190</v>
      </c>
      <c r="C87" s="535">
        <v>32.0</v>
      </c>
      <c r="D87" s="533" t="str">
        <f>'Register Configuration'!I272</f>
        <v>0x049F820E</v>
      </c>
      <c r="E87" s="532" t="s">
        <v>1046</v>
      </c>
    </row>
    <row r="88" ht="12.75" customHeight="1">
      <c r="A88" s="532" t="s">
        <v>963</v>
      </c>
      <c r="B88" s="533" t="str">
        <f>'Register Configuration'!H279</f>
        <v>0x3D400194</v>
      </c>
      <c r="C88" s="535">
        <v>32.0</v>
      </c>
      <c r="D88" s="533" t="str">
        <f>'Register Configuration'!I279</f>
        <v>0x00080303</v>
      </c>
      <c r="E88" s="532" t="s">
        <v>1047</v>
      </c>
    </row>
    <row r="89" ht="12.75" customHeight="1">
      <c r="A89" s="532" t="s">
        <v>963</v>
      </c>
      <c r="B89" s="533" t="str">
        <f>'Register Configuration'!H285</f>
        <v>0x3D4001B4</v>
      </c>
      <c r="C89" s="535">
        <v>32.0</v>
      </c>
      <c r="D89" s="533" t="str">
        <f>'Register Configuration'!I285</f>
        <v>0x00001F0E</v>
      </c>
      <c r="E89" s="532" t="s">
        <v>1048</v>
      </c>
    </row>
    <row r="90" ht="12.75" customHeight="1">
      <c r="A90" s="532" t="s">
        <v>963</v>
      </c>
      <c r="B90" s="533" t="str">
        <f>'Register Configuration'!H293</f>
        <v>0x3D4001A0</v>
      </c>
      <c r="C90" s="535">
        <v>32.0</v>
      </c>
      <c r="D90" s="533" t="str">
        <f>'Register Configuration'!I293</f>
        <v>0xE0400018</v>
      </c>
      <c r="E90" s="532" t="s">
        <v>1049</v>
      </c>
    </row>
    <row r="91" ht="12.75" customHeight="1">
      <c r="A91" s="532" t="s">
        <v>963</v>
      </c>
      <c r="B91" s="533" t="str">
        <f>'Register Configuration'!H299</f>
        <v>0x3D4001A4</v>
      </c>
      <c r="C91" s="535">
        <v>32.0</v>
      </c>
      <c r="D91" s="533" t="str">
        <f>'Register Configuration'!I299</f>
        <v>0x00DF00E4</v>
      </c>
      <c r="E91" s="532" t="s">
        <v>1050</v>
      </c>
    </row>
    <row r="92" ht="12.75" customHeight="1">
      <c r="A92" s="532" t="s">
        <v>963</v>
      </c>
      <c r="B92" s="533" t="str">
        <f>'Register Configuration'!H302</f>
        <v>0x3D4001A8</v>
      </c>
      <c r="C92" s="535">
        <v>32.0</v>
      </c>
      <c r="D92" s="533" t="str">
        <f>'Register Configuration'!I302</f>
        <v>0x80000000</v>
      </c>
      <c r="E92" s="532" t="s">
        <v>1051</v>
      </c>
    </row>
    <row r="93" ht="12.75" customHeight="1">
      <c r="A93" s="532" t="s">
        <v>963</v>
      </c>
      <c r="B93" s="533" t="str">
        <f>'Register Configuration'!H288</f>
        <v>0x3D4001B0</v>
      </c>
      <c r="C93" s="535">
        <v>32.0</v>
      </c>
      <c r="D93" s="533" t="str">
        <f>'Register Configuration'!I288</f>
        <v>0x00000011</v>
      </c>
      <c r="E93" s="532" t="s">
        <v>1052</v>
      </c>
    </row>
    <row r="94" ht="12.75" customHeight="1">
      <c r="A94" s="532"/>
      <c r="B94" s="531"/>
      <c r="C94" s="535"/>
      <c r="D94" s="531"/>
      <c r="E94" s="532"/>
      <c r="F94" s="26"/>
      <c r="G94" s="26"/>
      <c r="H94" s="26"/>
      <c r="I94" s="26"/>
      <c r="J94" s="26"/>
      <c r="K94" s="26"/>
      <c r="L94" s="26"/>
      <c r="M94" s="26"/>
      <c r="N94" s="26"/>
      <c r="O94" s="26"/>
      <c r="P94" s="26"/>
      <c r="Q94" s="26"/>
      <c r="R94" s="26"/>
      <c r="S94" s="26"/>
      <c r="T94" s="26"/>
      <c r="U94" s="26"/>
      <c r="V94" s="26"/>
      <c r="W94" s="26"/>
      <c r="X94" s="26"/>
      <c r="Y94" s="26"/>
      <c r="Z94" s="26"/>
    </row>
    <row r="95" ht="12.75" customHeight="1">
      <c r="A95" s="532" t="s">
        <v>963</v>
      </c>
      <c r="B95" s="533" t="str">
        <f>'Register Configuration'!H304</f>
        <v>0x3D4001C0</v>
      </c>
      <c r="C95" s="535">
        <v>32.0</v>
      </c>
      <c r="D95" s="533" t="str">
        <f>'Register Configuration'!I304</f>
        <v>0x00000001</v>
      </c>
      <c r="E95" s="532" t="s">
        <v>1053</v>
      </c>
    </row>
    <row r="96" ht="12.75" customHeight="1">
      <c r="A96" s="532" t="s">
        <v>963</v>
      </c>
      <c r="B96" s="533" t="str">
        <f>'Register Configuration'!H308</f>
        <v>0x3D4001C4</v>
      </c>
      <c r="C96" s="535">
        <v>32.0</v>
      </c>
      <c r="D96" s="533" t="str">
        <f>'Register Configuration'!I308</f>
        <v>0x00000001</v>
      </c>
      <c r="E96" s="532" t="s">
        <v>1054</v>
      </c>
    </row>
    <row r="97" ht="12.75" customHeight="1">
      <c r="A97" s="532"/>
      <c r="B97" s="531"/>
      <c r="C97" s="535"/>
      <c r="D97" s="531"/>
      <c r="E97" s="532"/>
      <c r="F97" s="26"/>
      <c r="G97" s="26"/>
      <c r="H97" s="26"/>
      <c r="I97" s="26"/>
      <c r="J97" s="26"/>
      <c r="K97" s="26"/>
      <c r="L97" s="26"/>
      <c r="M97" s="26"/>
      <c r="N97" s="26"/>
      <c r="O97" s="26"/>
      <c r="P97" s="26"/>
      <c r="Q97" s="26"/>
      <c r="R97" s="26"/>
      <c r="S97" s="26"/>
      <c r="T97" s="26"/>
      <c r="U97" s="26"/>
      <c r="V97" s="26"/>
      <c r="W97" s="26"/>
      <c r="X97" s="26"/>
      <c r="Y97" s="26"/>
      <c r="Z97" s="26"/>
    </row>
    <row r="98" ht="12.75" customHeight="1">
      <c r="A98" s="532" t="s">
        <v>1055</v>
      </c>
      <c r="B98" s="531"/>
      <c r="C98" s="535"/>
      <c r="D98" s="531"/>
      <c r="E98" s="532"/>
      <c r="F98" s="26"/>
      <c r="G98" s="26"/>
      <c r="H98" s="26"/>
      <c r="I98" s="26"/>
      <c r="J98" s="26"/>
      <c r="K98" s="26"/>
      <c r="L98" s="26"/>
      <c r="M98" s="26"/>
      <c r="N98" s="26"/>
      <c r="O98" s="26"/>
      <c r="P98" s="26"/>
      <c r="Q98" s="26"/>
      <c r="R98" s="26"/>
      <c r="S98" s="26"/>
      <c r="T98" s="26"/>
      <c r="U98" s="26"/>
      <c r="V98" s="26"/>
      <c r="W98" s="26"/>
      <c r="X98" s="26"/>
      <c r="Y98" s="26"/>
      <c r="Z98" s="26"/>
    </row>
    <row r="99" ht="12.75" customHeight="1">
      <c r="A99" s="532" t="s">
        <v>963</v>
      </c>
      <c r="B99" s="533" t="str">
        <f>'Register Configuration'!H112</f>
        <v>0x3D4000F4</v>
      </c>
      <c r="C99" s="535">
        <v>32.0</v>
      </c>
      <c r="D99" s="533" t="str">
        <f>'Register Configuration'!I112</f>
        <v>0x00000C99</v>
      </c>
      <c r="E99" s="532" t="s">
        <v>1056</v>
      </c>
    </row>
    <row r="100" ht="12.75" customHeight="1">
      <c r="A100" s="532" t="s">
        <v>963</v>
      </c>
      <c r="B100" s="533" t="str">
        <f>'Register Configuration'!H127</f>
        <v>0x3D400108</v>
      </c>
      <c r="C100" s="535">
        <v>32.0</v>
      </c>
      <c r="D100" s="533" t="str">
        <f>'Register Configuration'!I127</f>
        <v>0x09121C1C</v>
      </c>
      <c r="E100" s="532" t="s">
        <v>1057</v>
      </c>
    </row>
    <row r="101" ht="12.75" customHeight="1">
      <c r="A101" s="532"/>
      <c r="B101" s="531"/>
      <c r="C101" s="535"/>
      <c r="D101" s="531"/>
      <c r="E101" s="532"/>
    </row>
    <row r="102" ht="12.75" customHeight="1">
      <c r="A102" s="532" t="s">
        <v>963</v>
      </c>
      <c r="B102" s="533" t="str">
        <f>'Register Configuration'!H62</f>
        <v>0x3D400200</v>
      </c>
      <c r="C102" s="535">
        <v>32.0</v>
      </c>
      <c r="D102" s="533" t="str">
        <f>'Register Configuration'!I62</f>
        <v>0x0000001F</v>
      </c>
      <c r="E102" s="532" t="s">
        <v>1058</v>
      </c>
    </row>
    <row r="103" ht="12.75" customHeight="1">
      <c r="A103" s="532" t="s">
        <v>963</v>
      </c>
      <c r="B103" s="533" t="str">
        <f>'Register Configuration'!H69</f>
        <v>0x3D40020C</v>
      </c>
      <c r="C103" s="535">
        <v>32.0</v>
      </c>
      <c r="D103" s="533" t="str">
        <f>'Register Configuration'!I69</f>
        <v>0x00000000</v>
      </c>
      <c r="E103" s="532" t="s">
        <v>1059</v>
      </c>
    </row>
    <row r="104" ht="12.75" customHeight="1">
      <c r="A104" s="532" t="s">
        <v>963</v>
      </c>
      <c r="B104" s="533" t="str">
        <f>'Register Configuration'!H75</f>
        <v>0x3D400210</v>
      </c>
      <c r="C104" s="535">
        <v>32.0</v>
      </c>
      <c r="D104" s="533" t="str">
        <f>'Register Configuration'!I75</f>
        <v>0x00001F1F</v>
      </c>
      <c r="E104" s="532" t="s">
        <v>1060</v>
      </c>
      <c r="G104" s="532"/>
    </row>
    <row r="105" ht="12.75" customHeight="1">
      <c r="A105" s="532" t="s">
        <v>963</v>
      </c>
      <c r="B105" s="533" t="str">
        <f>'Register Configuration'!H65</f>
        <v>0x3D400204</v>
      </c>
      <c r="C105" s="535">
        <v>32.0</v>
      </c>
      <c r="D105" s="533" t="str">
        <f>'Register Configuration'!I65</f>
        <v>0x00080808</v>
      </c>
      <c r="E105" s="532" t="s">
        <v>1061</v>
      </c>
    </row>
    <row r="106" ht="12.75" customHeight="1">
      <c r="A106" s="532" t="s">
        <v>963</v>
      </c>
      <c r="B106" s="533" t="str">
        <f>'Register Configuration'!H78</f>
        <v>0x3D400214</v>
      </c>
      <c r="C106" s="535">
        <v>32.0</v>
      </c>
      <c r="D106" s="533" t="str">
        <f>'Register Configuration'!I78</f>
        <v>0x07070707</v>
      </c>
      <c r="E106" s="532" t="s">
        <v>1062</v>
      </c>
    </row>
    <row r="107" ht="12.75" customHeight="1">
      <c r="A107" s="532" t="s">
        <v>963</v>
      </c>
      <c r="B107" s="533" t="str">
        <f>'Register Configuration'!H83</f>
        <v>0x3D400218</v>
      </c>
      <c r="C107" s="535">
        <v>32.0</v>
      </c>
      <c r="D107" s="533" t="str">
        <f>'Register Configuration'!I83</f>
        <v>0x07070707</v>
      </c>
      <c r="E107" s="532" t="s">
        <v>1063</v>
      </c>
    </row>
    <row r="108" ht="12.75" customHeight="1">
      <c r="A108" s="532" t="s">
        <v>963</v>
      </c>
      <c r="B108" s="533" t="str">
        <f>'Register Configuration'!H89</f>
        <v>0x3D40021C</v>
      </c>
      <c r="C108" s="535">
        <v>32.0</v>
      </c>
      <c r="D108" s="533" t="str">
        <f>'Register Configuration'!I89</f>
        <v>0x00000F07</v>
      </c>
      <c r="E108" s="532" t="s">
        <v>1064</v>
      </c>
    </row>
    <row r="109" ht="12.75" customHeight="1">
      <c r="A109" s="532"/>
      <c r="B109" s="531"/>
      <c r="C109" s="535"/>
      <c r="D109" s="531"/>
      <c r="E109" s="532"/>
      <c r="F109" s="532"/>
    </row>
    <row r="110" ht="12.75" customHeight="1">
      <c r="A110" s="532" t="s">
        <v>963</v>
      </c>
      <c r="B110" s="533" t="str">
        <f>'Register Configuration'!H310</f>
        <v>0x3D400250</v>
      </c>
      <c r="C110" s="535">
        <v>32.0</v>
      </c>
      <c r="D110" s="533" t="str">
        <f>'Register Configuration'!I310</f>
        <v>0x00001705</v>
      </c>
      <c r="E110" s="532" t="s">
        <v>1065</v>
      </c>
    </row>
    <row r="111" ht="12.75" customHeight="1">
      <c r="A111" s="532" t="s">
        <v>963</v>
      </c>
      <c r="B111" s="533" t="str">
        <f>'Register Configuration'!H317</f>
        <v>0x3D400254</v>
      </c>
      <c r="C111" s="535">
        <v>32.0</v>
      </c>
      <c r="D111" s="533" t="str">
        <f>'Register Configuration'!I317</f>
        <v>0x0000002C</v>
      </c>
      <c r="E111" s="532" t="s">
        <v>1066</v>
      </c>
    </row>
    <row r="112" ht="12.75" customHeight="1">
      <c r="A112" s="532" t="s">
        <v>963</v>
      </c>
      <c r="B112" s="533" t="str">
        <f>'Register Configuration'!H319</f>
        <v>0x3D40025C</v>
      </c>
      <c r="C112" s="535">
        <v>32.0</v>
      </c>
      <c r="D112" s="533" t="str">
        <f>'Register Configuration'!I319</f>
        <v>0x04000030</v>
      </c>
      <c r="E112" s="532" t="s">
        <v>1067</v>
      </c>
    </row>
    <row r="113" ht="12.75" customHeight="1">
      <c r="A113" s="532" t="s">
        <v>963</v>
      </c>
      <c r="B113" s="533" t="str">
        <f>'Register Configuration'!H322</f>
        <v>0x3D400264</v>
      </c>
      <c r="C113" s="535">
        <v>32.0</v>
      </c>
      <c r="D113" s="533" t="str">
        <f>'Register Configuration'!I322</f>
        <v>0x900093E7</v>
      </c>
      <c r="E113" s="532" t="s">
        <v>1068</v>
      </c>
    </row>
    <row r="114" ht="12.75" customHeight="1">
      <c r="A114" s="532" t="s">
        <v>963</v>
      </c>
      <c r="B114" s="533" t="str">
        <f>'Register Configuration'!H325</f>
        <v>0x3D40026C</v>
      </c>
      <c r="C114" s="535">
        <v>32.0</v>
      </c>
      <c r="D114" s="533" t="str">
        <f>'Register Configuration'!I325</f>
        <v>0x02005574</v>
      </c>
      <c r="E114" s="532" t="s">
        <v>1069</v>
      </c>
    </row>
    <row r="115" ht="12.75" customHeight="1">
      <c r="A115" s="532" t="s">
        <v>963</v>
      </c>
      <c r="B115" s="533" t="str">
        <f>'Register Configuration'!H328</f>
        <v>0x3D400400</v>
      </c>
      <c r="C115" s="535">
        <v>32.0</v>
      </c>
      <c r="D115" s="533" t="str">
        <f>'Register Configuration'!I328</f>
        <v>0x00000111</v>
      </c>
      <c r="E115" s="532" t="s">
        <v>1070</v>
      </c>
    </row>
    <row r="116" ht="12.75" customHeight="1">
      <c r="A116" s="532" t="s">
        <v>963</v>
      </c>
      <c r="B116" s="533" t="str">
        <f>'Register Configuration'!H332</f>
        <v>0x3D400404</v>
      </c>
      <c r="C116" s="535">
        <v>32.0</v>
      </c>
      <c r="D116" s="533" t="str">
        <f>'Register Configuration'!I332</f>
        <v>0x000072FF</v>
      </c>
      <c r="E116" s="532" t="s">
        <v>1071</v>
      </c>
    </row>
    <row r="117" ht="12.75" customHeight="1">
      <c r="A117" s="532" t="s">
        <v>963</v>
      </c>
      <c r="B117" s="533" t="str">
        <f>'Register Configuration'!H340</f>
        <v>0x3D400408</v>
      </c>
      <c r="C117" s="535">
        <v>32.0</v>
      </c>
      <c r="D117" s="533" t="str">
        <f>'Register Configuration'!I340</f>
        <v>0x000072FF</v>
      </c>
      <c r="E117" s="532" t="s">
        <v>1072</v>
      </c>
    </row>
    <row r="118" ht="12.75" customHeight="1">
      <c r="A118" s="532" t="s">
        <v>963</v>
      </c>
      <c r="B118" s="533" t="str">
        <f>'Register Configuration'!H345</f>
        <v>0x3D400494</v>
      </c>
      <c r="C118" s="535">
        <v>32.0</v>
      </c>
      <c r="D118" s="533" t="str">
        <f>'Register Configuration'!I345</f>
        <v>0x02100E07</v>
      </c>
      <c r="E118" s="532" t="s">
        <v>1073</v>
      </c>
    </row>
    <row r="119" ht="12.75" customHeight="1">
      <c r="A119" s="532" t="s">
        <v>963</v>
      </c>
      <c r="B119" s="533" t="str">
        <f>'Register Configuration'!H351</f>
        <v>0x3D400498</v>
      </c>
      <c r="C119" s="535">
        <v>32.0</v>
      </c>
      <c r="D119" s="533" t="str">
        <f>'Register Configuration'!I351</f>
        <v>0x00620096</v>
      </c>
      <c r="E119" s="532" t="s">
        <v>1074</v>
      </c>
    </row>
    <row r="120" ht="12.75" customHeight="1">
      <c r="A120" s="532" t="s">
        <v>963</v>
      </c>
      <c r="B120" s="533" t="str">
        <f>'Register Configuration'!H354</f>
        <v>0x3D40049C</v>
      </c>
      <c r="C120" s="535">
        <v>32.0</v>
      </c>
      <c r="D120" s="533" t="str">
        <f>'Register Configuration'!I354</f>
        <v>0x01100E07</v>
      </c>
      <c r="E120" s="532" t="s">
        <v>1075</v>
      </c>
    </row>
    <row r="121" ht="12.75" customHeight="1">
      <c r="A121" s="532" t="s">
        <v>963</v>
      </c>
      <c r="B121" s="533" t="str">
        <f>'Register Configuration'!H359</f>
        <v>0x3D4004A0</v>
      </c>
      <c r="C121" s="535">
        <v>32.0</v>
      </c>
      <c r="D121" s="533" t="str">
        <f>'Register Configuration'!I359</f>
        <v>0x00C8012C</v>
      </c>
      <c r="E121" s="532" t="s">
        <v>1076</v>
      </c>
    </row>
    <row r="122" ht="12.75" customHeight="1">
      <c r="A122" s="532"/>
      <c r="B122" s="531"/>
      <c r="C122" s="535"/>
      <c r="D122" s="531"/>
      <c r="E122" s="532"/>
      <c r="F122" s="26"/>
      <c r="G122" s="26"/>
      <c r="H122" s="26"/>
      <c r="I122" s="26"/>
      <c r="J122" s="26"/>
      <c r="K122" s="26"/>
      <c r="L122" s="26"/>
      <c r="M122" s="26"/>
      <c r="N122" s="26"/>
      <c r="O122" s="26"/>
      <c r="P122" s="26"/>
      <c r="Q122" s="26"/>
      <c r="R122" s="26"/>
      <c r="S122" s="26"/>
      <c r="T122" s="26"/>
      <c r="U122" s="26"/>
      <c r="V122" s="26"/>
      <c r="W122" s="26"/>
      <c r="X122" s="26"/>
      <c r="Y122" s="26"/>
      <c r="Z122" s="26"/>
    </row>
    <row r="123" ht="12.75" customHeight="1">
      <c r="A123" s="532" t="str">
        <f>"# DDR-" &amp; IF('Register Configuration'!C31 = 334, "334", "200") &amp;"MHz clock configuration"</f>
        <v># DDR-200MHz clock configuration</v>
      </c>
      <c r="B123" s="531"/>
      <c r="C123" s="535"/>
      <c r="D123" s="531"/>
      <c r="E123" s="532"/>
      <c r="F123" s="532"/>
    </row>
    <row r="124" ht="12.75" customHeight="1">
      <c r="A124" s="532" t="str">
        <f>IF('Register Configuration'!H27 &gt; 1, "memory set", "#memory set")</f>
        <v>#memory set</v>
      </c>
      <c r="B124" s="533" t="str">
        <f>'Register Configuration'!H412</f>
        <v>0x3D402020</v>
      </c>
      <c r="C124" s="535">
        <v>32.0</v>
      </c>
      <c r="D124" s="533" t="str">
        <f>'Register Configuration'!I412</f>
        <v>0x00001031</v>
      </c>
      <c r="E124" s="532" t="s">
        <v>1077</v>
      </c>
      <c r="F124" s="532"/>
    </row>
    <row r="125" ht="12.75" customHeight="1">
      <c r="A125" s="532" t="str">
        <f>IF('Register Configuration'!H27 &gt; 1, "memory set", "#memory set")</f>
        <v>#memory set</v>
      </c>
      <c r="B125" s="533" t="str">
        <f>'Register Configuration'!H419</f>
        <v>0x3D402024</v>
      </c>
      <c r="C125" s="535">
        <v>32.0</v>
      </c>
      <c r="D125" s="533" t="str">
        <f>'Register Configuration'!I419</f>
        <v>0x0030D400</v>
      </c>
      <c r="E125" s="532" t="s">
        <v>1078</v>
      </c>
      <c r="F125" s="532"/>
    </row>
    <row r="126" ht="12.75" customHeight="1">
      <c r="A126" s="532" t="str">
        <f>IF('Register Configuration'!H27 &gt; 1, "memory set", "#memory set")</f>
        <v>#memory set</v>
      </c>
      <c r="B126" s="533" t="str">
        <f>'Register Configuration'!H421</f>
        <v>0x3D402050</v>
      </c>
      <c r="C126" s="535">
        <v>32.0</v>
      </c>
      <c r="D126" s="533" t="str">
        <f>'Register Configuration'!I421</f>
        <v>0x0020D000</v>
      </c>
      <c r="E126" s="532" t="s">
        <v>1079</v>
      </c>
      <c r="F126" s="532"/>
    </row>
    <row r="127" ht="12.75" customHeight="1">
      <c r="A127" s="532" t="str">
        <f>IF('Register Configuration'!H27 &gt; 1, "memory set", "#memory set")</f>
        <v>#memory set</v>
      </c>
      <c r="B127" s="533" t="str">
        <f>'Register Configuration'!H449</f>
        <v>0x3D402064</v>
      </c>
      <c r="C127" s="535">
        <v>32.0</v>
      </c>
      <c r="D127" s="533" t="str">
        <f>'Register Configuration'!I449</f>
        <v>0x000C0026</v>
      </c>
      <c r="E127" s="532" t="s">
        <v>1080</v>
      </c>
      <c r="F127" s="532"/>
    </row>
    <row r="128" ht="12.75" customHeight="1">
      <c r="A128" s="532" t="str">
        <f>IF('Register Configuration'!H27 &gt; 1, "memory set", "#memory set")</f>
        <v>#memory set</v>
      </c>
      <c r="B128" s="533" t="str">
        <f>'Register Configuration'!H452</f>
        <v>0x3D4020DC</v>
      </c>
      <c r="C128" s="535">
        <v>32.0</v>
      </c>
      <c r="D128" s="533" t="str">
        <f>'Register Configuration'!I452</f>
        <v>0x00840000</v>
      </c>
      <c r="E128" s="532" t="s">
        <v>1081</v>
      </c>
      <c r="F128" s="532"/>
    </row>
    <row r="129" ht="12.75" customHeight="1">
      <c r="A129" s="532" t="str">
        <f>IF('Register Configuration'!H27 &gt; 1, "memory set", "#memory set")</f>
        <v>#memory set</v>
      </c>
      <c r="B129" s="533" t="str">
        <f>'Register Configuration'!H474</f>
        <v>0x3D4020E0</v>
      </c>
      <c r="C129" s="535">
        <v>32.0</v>
      </c>
      <c r="D129" s="533" t="str">
        <f>'Register Configuration'!I474</f>
        <v>0x00330000</v>
      </c>
      <c r="E129" s="532" t="s">
        <v>1082</v>
      </c>
      <c r="F129" s="532"/>
    </row>
    <row r="130" ht="12.75" customHeight="1">
      <c r="A130" s="532" t="str">
        <f>IF('Register Configuration'!H27 &gt; 1, "memory set", "#memory set")</f>
        <v>#memory set</v>
      </c>
      <c r="B130" s="533" t="str">
        <f>'Register Configuration'!H462</f>
        <v>0x3D4020E8</v>
      </c>
      <c r="C130" s="535">
        <v>32.0</v>
      </c>
      <c r="D130" s="533" t="str">
        <f>'Register Configuration'!I462</f>
        <v>0x00660048</v>
      </c>
      <c r="E130" s="532" t="s">
        <v>1083</v>
      </c>
      <c r="F130" s="532"/>
    </row>
    <row r="131" ht="12.75" customHeight="1">
      <c r="A131" s="532" t="str">
        <f>IF('Register Configuration'!H27 &gt; 1, "memory set", "#memory set")</f>
        <v>#memory set</v>
      </c>
      <c r="B131" s="533" t="str">
        <f>'Register Configuration'!H467</f>
        <v>0x3D4020EC</v>
      </c>
      <c r="C131" s="535">
        <v>32.0</v>
      </c>
      <c r="D131" s="533" t="str">
        <f>'Register Configuration'!I467</f>
        <v>0x00160048</v>
      </c>
      <c r="E131" s="532" t="s">
        <v>1084</v>
      </c>
      <c r="F131" s="532"/>
    </row>
    <row r="132" ht="12.75" customHeight="1">
      <c r="A132" s="532" t="str">
        <f>IF('Register Configuration'!H27 &gt; 1, "memory set", "#memory set")</f>
        <v>#memory set</v>
      </c>
      <c r="B132" s="533" t="str">
        <f>'Register Configuration'!H364</f>
        <v>0x3D402100</v>
      </c>
      <c r="C132" s="535">
        <v>32.0</v>
      </c>
      <c r="D132" s="533" t="str">
        <f>'Register Configuration'!I364</f>
        <v>0x0A040305</v>
      </c>
      <c r="E132" s="532" t="s">
        <v>1085</v>
      </c>
      <c r="F132" s="532"/>
    </row>
    <row r="133" ht="12.75" customHeight="1">
      <c r="A133" s="532" t="str">
        <f>IF('Register Configuration'!H27 &gt; 1, "memory set", "#memory set")</f>
        <v>#memory set</v>
      </c>
      <c r="B133" s="533" t="str">
        <f>'Register Configuration'!H369</f>
        <v>0x3D402104</v>
      </c>
      <c r="C133" s="535">
        <v>32.0</v>
      </c>
      <c r="D133" s="533" t="str">
        <f>'Register Configuration'!I369</f>
        <v>0x00030407</v>
      </c>
      <c r="E133" s="532" t="s">
        <v>1086</v>
      </c>
      <c r="F133" s="532"/>
    </row>
    <row r="134" ht="12.75" customHeight="1">
      <c r="A134" s="532" t="str">
        <f>IF('Register Configuration'!H27 &gt; 1, "memory set", "#memory set")</f>
        <v>#memory set</v>
      </c>
      <c r="B134" s="533" t="str">
        <f>'Register Configuration'!H373</f>
        <v>0x3D402108</v>
      </c>
      <c r="C134" s="535">
        <v>32.0</v>
      </c>
      <c r="D134" s="533" t="str">
        <f>'Register Configuration'!I373</f>
        <v>0x0203060B</v>
      </c>
      <c r="E134" s="532" t="s">
        <v>1087</v>
      </c>
      <c r="F134" s="532"/>
    </row>
    <row r="135" ht="12.75" customHeight="1">
      <c r="A135" s="532" t="str">
        <f>IF('Register Configuration'!H27 &gt; 1, "memory set", "#memory set")</f>
        <v>#memory set</v>
      </c>
      <c r="B135" s="533" t="str">
        <f>'Register Configuration'!H378</f>
        <v>0x3D40210C</v>
      </c>
      <c r="C135" s="535">
        <v>32.0</v>
      </c>
      <c r="D135" s="533" t="str">
        <f>'Register Configuration'!I378</f>
        <v>0x00505000</v>
      </c>
      <c r="E135" s="532" t="s">
        <v>1088</v>
      </c>
      <c r="F135" s="532"/>
    </row>
    <row r="136" ht="12.75" customHeight="1">
      <c r="A136" s="532" t="str">
        <f>IF('Register Configuration'!H27 &gt; 1, "memory set", "#memory set")</f>
        <v>#memory set</v>
      </c>
      <c r="B136" s="533" t="str">
        <f>'Register Configuration'!H382</f>
        <v>0x3D402110</v>
      </c>
      <c r="C136" s="535">
        <v>32.0</v>
      </c>
      <c r="D136" s="533" t="str">
        <f>'Register Configuration'!I382</f>
        <v>0x02040202</v>
      </c>
      <c r="E136" s="532" t="s">
        <v>1089</v>
      </c>
      <c r="F136" s="532"/>
    </row>
    <row r="137" ht="12.75" customHeight="1">
      <c r="A137" s="532" t="str">
        <f>IF('Register Configuration'!H27 &gt; 1, "memory set", "#memory set")</f>
        <v>#memory set</v>
      </c>
      <c r="B137" s="533" t="str">
        <f>'Register Configuration'!H387</f>
        <v>0x3D402114</v>
      </c>
      <c r="C137" s="535">
        <v>32.0</v>
      </c>
      <c r="D137" s="533" t="str">
        <f>'Register Configuration'!I387</f>
        <v>0x02030202</v>
      </c>
      <c r="E137" s="532" t="s">
        <v>1090</v>
      </c>
      <c r="F137" s="532"/>
    </row>
    <row r="138" ht="12.75" customHeight="1">
      <c r="A138" s="532" t="str">
        <f>IF('Register Configuration'!H27 &gt; 1, "memory set", "#memory set")</f>
        <v>#memory set</v>
      </c>
      <c r="B138" s="533" t="str">
        <f>'Register Configuration'!H392</f>
        <v>0x3D402118</v>
      </c>
      <c r="C138" s="535">
        <v>32.0</v>
      </c>
      <c r="D138" s="533" t="str">
        <f>'Register Configuration'!I392</f>
        <v>0x01010004</v>
      </c>
      <c r="E138" s="532" t="s">
        <v>1091</v>
      </c>
      <c r="F138" s="532"/>
    </row>
    <row r="139" ht="12.75" customHeight="1">
      <c r="A139" s="532" t="str">
        <f>IF('Register Configuration'!H27 &gt; 1, "memory set", "#memory set")</f>
        <v>#memory set</v>
      </c>
      <c r="B139" s="533" t="str">
        <f>'Register Configuration'!H396</f>
        <v>0x3D40211C</v>
      </c>
      <c r="C139" s="535">
        <v>32.0</v>
      </c>
      <c r="D139" s="533" t="str">
        <f>'Register Configuration'!I396</f>
        <v>0x00000301</v>
      </c>
      <c r="E139" s="532" t="s">
        <v>1092</v>
      </c>
      <c r="F139" s="532"/>
    </row>
    <row r="140" ht="12.75" customHeight="1">
      <c r="A140" s="532" t="str">
        <f>IF('Register Configuration'!H27 &gt; 1, "memory set", "#memory set")</f>
        <v>#memory set</v>
      </c>
      <c r="B140" s="533" t="str">
        <f>'Register Configuration'!H399</f>
        <v>0x3D402130</v>
      </c>
      <c r="C140" s="535">
        <v>32.0</v>
      </c>
      <c r="D140" s="533" t="str">
        <f>'Register Configuration'!I399</f>
        <v>0x00020300</v>
      </c>
      <c r="E140" s="532" t="s">
        <v>1093</v>
      </c>
      <c r="F140" s="532"/>
    </row>
    <row r="141" ht="12.75" customHeight="1">
      <c r="A141" s="532" t="str">
        <f>IF('Register Configuration'!H27 &gt; 1, "memory set", "#memory set")</f>
        <v>#memory set</v>
      </c>
      <c r="B141" s="533" t="str">
        <f>'Register Configuration'!H403</f>
        <v>0x3D402134</v>
      </c>
      <c r="C141" s="535">
        <v>32.0</v>
      </c>
      <c r="D141" s="533" t="str">
        <f>'Register Configuration'!I403</f>
        <v>0x0A100002</v>
      </c>
      <c r="E141" s="532" t="s">
        <v>1094</v>
      </c>
      <c r="F141" s="532"/>
    </row>
    <row r="142" ht="12.75" customHeight="1">
      <c r="A142" s="532" t="str">
        <f>IF('Register Configuration'!H27 &gt; 1, "memory set", "#memory set")</f>
        <v>#memory set</v>
      </c>
      <c r="B142" s="533" t="str">
        <f>'Register Configuration'!H407</f>
        <v>0x3D402138</v>
      </c>
      <c r="C142" s="535">
        <v>32.0</v>
      </c>
      <c r="D142" s="533" t="str">
        <f>'Register Configuration'!I407</f>
        <v>0x00000027</v>
      </c>
      <c r="E142" s="532" t="s">
        <v>1095</v>
      </c>
      <c r="F142" s="532"/>
    </row>
    <row r="143" ht="12.75" customHeight="1">
      <c r="A143" s="532" t="str">
        <f>IF('Register Configuration'!H27 &gt; 1, "memory set", "#memory set")</f>
        <v>#memory set</v>
      </c>
      <c r="B143" s="533" t="str">
        <f>'Register Configuration'!H409</f>
        <v>0x3D402144</v>
      </c>
      <c r="C143" s="535">
        <v>32.0</v>
      </c>
      <c r="D143" s="533" t="str">
        <f>'Register Configuration'!I409</f>
        <v>0x0014000A</v>
      </c>
      <c r="E143" s="532" t="s">
        <v>1096</v>
      </c>
      <c r="F143" s="532"/>
    </row>
    <row r="144" ht="12.75" customHeight="1">
      <c r="A144" s="532" t="str">
        <f>IF('Register Configuration'!H27 &gt; 1, "memory set", "#memory set")</f>
        <v>#memory set</v>
      </c>
      <c r="B144" s="533" t="str">
        <f>'Register Configuration'!H426</f>
        <v>0x3D402180</v>
      </c>
      <c r="C144" s="535">
        <v>32.0</v>
      </c>
      <c r="D144" s="533" t="str">
        <f>'Register Configuration'!I426</f>
        <v>0x00640004</v>
      </c>
      <c r="E144" s="532" t="s">
        <v>1097</v>
      </c>
      <c r="F144" s="532"/>
    </row>
    <row r="145" ht="12.75" customHeight="1">
      <c r="A145" s="532" t="str">
        <f>IF('Register Configuration'!H27 &gt; 1, "memory set", "#memory set")</f>
        <v>#memory set</v>
      </c>
      <c r="B145" s="533" t="str">
        <f>'Register Configuration'!H433</f>
        <v>0x3D402190</v>
      </c>
      <c r="C145" s="535">
        <v>32.0</v>
      </c>
      <c r="D145" s="533" t="str">
        <f>'Register Configuration'!I433</f>
        <v>0x03818200</v>
      </c>
      <c r="E145" s="532" t="s">
        <v>1098</v>
      </c>
      <c r="F145" s="532"/>
    </row>
    <row r="146" ht="12.75" customHeight="1">
      <c r="A146" s="532" t="str">
        <f>IF('Register Configuration'!H27 &gt; 1, "memory set", "#memory set")</f>
        <v>#memory set</v>
      </c>
      <c r="B146" s="533" t="str">
        <f>'Register Configuration'!H440</f>
        <v>0x3D402194</v>
      </c>
      <c r="C146" s="535">
        <v>32.0</v>
      </c>
      <c r="D146" s="533" t="str">
        <f>'Register Configuration'!I440</f>
        <v>0x00080303</v>
      </c>
      <c r="E146" s="532" t="s">
        <v>1099</v>
      </c>
      <c r="F146" s="532"/>
    </row>
    <row r="147" ht="12.75" customHeight="1">
      <c r="A147" s="532" t="str">
        <f>IF('Register Configuration'!H27 &gt; 1, "memory set", "#memory set")</f>
        <v>#memory set</v>
      </c>
      <c r="B147" s="533" t="str">
        <f>'Register Configuration'!H446</f>
        <v>0x3D4021B4</v>
      </c>
      <c r="C147" s="535">
        <v>32.0</v>
      </c>
      <c r="D147" s="533" t="str">
        <f>'Register Configuration'!I446</f>
        <v>0x00000100</v>
      </c>
      <c r="E147" s="532" t="s">
        <v>1100</v>
      </c>
      <c r="F147" s="532"/>
    </row>
    <row r="148" ht="12.75" customHeight="1">
      <c r="A148" s="532" t="str">
        <f>IF('Register Configuration'!H27 &gt; 1, "memory set", "#memory set")</f>
        <v>#memory set</v>
      </c>
      <c r="B148" s="533" t="str">
        <f>'Register Configuration'!H489</f>
        <v>0x3D4020F4</v>
      </c>
      <c r="C148" s="535">
        <v>32.0</v>
      </c>
      <c r="D148" s="533" t="str">
        <f>'Register Configuration'!I489</f>
        <v>0x00000C99</v>
      </c>
      <c r="E148" s="532" t="s">
        <v>1101</v>
      </c>
      <c r="F148" s="532"/>
    </row>
    <row r="149" ht="12.75" customHeight="1">
      <c r="A149" s="532"/>
      <c r="B149" s="531"/>
      <c r="C149" s="535"/>
      <c r="D149" s="531"/>
      <c r="E149" s="532"/>
      <c r="F149" s="532"/>
    </row>
    <row r="150" ht="12.75" customHeight="1">
      <c r="A150" s="532" t="s">
        <v>1102</v>
      </c>
      <c r="B150" s="531"/>
      <c r="C150" s="535"/>
      <c r="D150" s="531"/>
      <c r="E150" s="532"/>
      <c r="F150" s="532"/>
    </row>
    <row r="151" ht="12.75" customHeight="1">
      <c r="A151" s="532" t="str">
        <f>IF('Register Configuration'!H27 = 3, "memory set", "#memory set")</f>
        <v>#memory set</v>
      </c>
      <c r="B151" s="533" t="str">
        <f>'Register Configuration'!H543</f>
        <v>0x3D403020</v>
      </c>
      <c r="C151" s="535">
        <v>32.0</v>
      </c>
      <c r="D151" s="533" t="str">
        <f>'Register Configuration'!I543</f>
        <v>0x00001031</v>
      </c>
      <c r="E151" s="532" t="s">
        <v>1103</v>
      </c>
      <c r="F151" s="532"/>
    </row>
    <row r="152" ht="12.75" customHeight="1">
      <c r="A152" s="532" t="str">
        <f>IF('Register Configuration'!H27 = 3, "memory set", "#memory set")</f>
        <v>#memory set</v>
      </c>
      <c r="B152" s="533" t="str">
        <f>'Register Configuration'!H550</f>
        <v>0x3D403024</v>
      </c>
      <c r="C152" s="535">
        <v>32.0</v>
      </c>
      <c r="D152" s="533" t="str">
        <f>'Register Configuration'!I550</f>
        <v>0x000C3500</v>
      </c>
      <c r="E152" s="532" t="s">
        <v>1104</v>
      </c>
      <c r="F152" s="532"/>
    </row>
    <row r="153" ht="12.75" customHeight="1">
      <c r="A153" s="532" t="str">
        <f>IF('Register Configuration'!H27 = 3, "memory set", "#memory set")</f>
        <v>#memory set</v>
      </c>
      <c r="B153" s="533" t="str">
        <f>'Register Configuration'!H552</f>
        <v>0x3D403050</v>
      </c>
      <c r="C153" s="535">
        <v>32.0</v>
      </c>
      <c r="D153" s="533" t="str">
        <f>'Register Configuration'!I552</f>
        <v>0x0020D000</v>
      </c>
      <c r="E153" s="532" t="s">
        <v>1105</v>
      </c>
      <c r="F153" s="532"/>
    </row>
    <row r="154" ht="12.75" customHeight="1">
      <c r="A154" s="532" t="str">
        <f>IF('Register Configuration'!H27 = 3, "memory set", "#memory set")</f>
        <v>#memory set</v>
      </c>
      <c r="B154" s="533" t="str">
        <f>'Register Configuration'!H580</f>
        <v>0x3D403064</v>
      </c>
      <c r="C154" s="535">
        <v>32.0</v>
      </c>
      <c r="D154" s="533" t="str">
        <f>'Register Configuration'!I580</f>
        <v>0x0003000A</v>
      </c>
      <c r="E154" s="532" t="s">
        <v>1106</v>
      </c>
      <c r="F154" s="532"/>
    </row>
    <row r="155" ht="12.75" customHeight="1">
      <c r="A155" s="532" t="str">
        <f>IF('Register Configuration'!H27 = 3, "memory set", "#memory set")</f>
        <v>#memory set</v>
      </c>
      <c r="B155" s="533" t="str">
        <f>'Register Configuration'!H583</f>
        <v>0x3D4030DC</v>
      </c>
      <c r="C155" s="535">
        <v>32.0</v>
      </c>
      <c r="D155" s="533" t="str">
        <f>'Register Configuration'!I583</f>
        <v>0x00840000</v>
      </c>
      <c r="E155" s="532" t="s">
        <v>1107</v>
      </c>
      <c r="F155" s="532"/>
    </row>
    <row r="156" ht="12.75" customHeight="1">
      <c r="A156" s="532" t="str">
        <f>IF('Register Configuration'!H27 = 3, "memory set", "#memory set")</f>
        <v>#memory set</v>
      </c>
      <c r="B156" s="533" t="str">
        <f>'Register Configuration'!H605</f>
        <v>0x3D4030E0</v>
      </c>
      <c r="C156" s="535">
        <v>32.0</v>
      </c>
      <c r="D156" s="533" t="str">
        <f>'Register Configuration'!I605</f>
        <v>0x00330000</v>
      </c>
      <c r="E156" s="532" t="s">
        <v>1108</v>
      </c>
      <c r="F156" s="532"/>
    </row>
    <row r="157" ht="12.75" customHeight="1">
      <c r="A157" s="532" t="str">
        <f>IF('Register Configuration'!H27 = 3, "memory set", "#memory set")</f>
        <v>#memory set</v>
      </c>
      <c r="B157" s="533" t="str">
        <f>'Register Configuration'!H593</f>
        <v>0x3D4030E8</v>
      </c>
      <c r="C157" s="535">
        <v>32.0</v>
      </c>
      <c r="D157" s="533" t="str">
        <f>'Register Configuration'!I593</f>
        <v>0x00660048</v>
      </c>
      <c r="E157" s="532" t="s">
        <v>1109</v>
      </c>
      <c r="F157" s="532"/>
    </row>
    <row r="158" ht="12.75" customHeight="1">
      <c r="A158" s="532" t="str">
        <f>IF('Register Configuration'!H27 = 3, "memory set", "#memory set")</f>
        <v>#memory set</v>
      </c>
      <c r="B158" s="533" t="str">
        <f>'Register Configuration'!H598</f>
        <v>0x3D4030EC</v>
      </c>
      <c r="C158" s="535">
        <v>32.0</v>
      </c>
      <c r="D158" s="533" t="str">
        <f>'Register Configuration'!I598</f>
        <v>0x00160048</v>
      </c>
      <c r="E158" s="532" t="s">
        <v>1110</v>
      </c>
      <c r="F158" s="532"/>
    </row>
    <row r="159" ht="12.75" customHeight="1">
      <c r="A159" s="532" t="str">
        <f>IF('Register Configuration'!H27 = 3, "memory set", "#memory set")</f>
        <v>#memory set</v>
      </c>
      <c r="B159" s="533" t="str">
        <f>'Register Configuration'!H495</f>
        <v>0x3D403100</v>
      </c>
      <c r="C159" s="535">
        <v>32.0</v>
      </c>
      <c r="D159" s="533" t="str">
        <f>'Register Configuration'!I495</f>
        <v>0x0A010102</v>
      </c>
      <c r="E159" s="532" t="s">
        <v>1111</v>
      </c>
      <c r="F159" s="532"/>
    </row>
    <row r="160" ht="12.75" customHeight="1">
      <c r="A160" s="532" t="str">
        <f>IF('Register Configuration'!H27 = 3, "memory set", "#memory set")</f>
        <v>#memory set</v>
      </c>
      <c r="B160" s="533" t="str">
        <f>'Register Configuration'!H500</f>
        <v>0x3D403104</v>
      </c>
      <c r="C160" s="535">
        <v>32.0</v>
      </c>
      <c r="D160" s="533" t="str">
        <f>'Register Configuration'!I500</f>
        <v>0x00030404</v>
      </c>
      <c r="E160" s="532" t="s">
        <v>1112</v>
      </c>
      <c r="F160" s="532"/>
    </row>
    <row r="161" ht="12.75" customHeight="1">
      <c r="A161" s="532" t="str">
        <f>IF('Register Configuration'!H27 = 3, "memory set", "#memory set")</f>
        <v>#memory set</v>
      </c>
      <c r="B161" s="533" t="str">
        <f>'Register Configuration'!H504</f>
        <v>0x3D403108</v>
      </c>
      <c r="C161" s="535">
        <v>32.0</v>
      </c>
      <c r="D161" s="533" t="str">
        <f>'Register Configuration'!I504</f>
        <v>0x0203060B</v>
      </c>
      <c r="E161" s="532" t="s">
        <v>1113</v>
      </c>
      <c r="F161" s="532"/>
    </row>
    <row r="162" ht="12.75" customHeight="1">
      <c r="A162" s="532" t="str">
        <f>IF('Register Configuration'!H27 = 3, "memory set", "#memory set")</f>
        <v>#memory set</v>
      </c>
      <c r="B162" s="533" t="str">
        <f>'Register Configuration'!H509</f>
        <v>0x3D40310C</v>
      </c>
      <c r="C162" s="535">
        <v>32.0</v>
      </c>
      <c r="D162" s="533" t="str">
        <f>'Register Configuration'!I509</f>
        <v>0x00505000</v>
      </c>
      <c r="E162" s="532" t="s">
        <v>1114</v>
      </c>
      <c r="F162" s="532"/>
    </row>
    <row r="163" ht="12.75" customHeight="1">
      <c r="A163" s="532" t="str">
        <f>IF('Register Configuration'!H27 = 3, "memory set", "#memory set")</f>
        <v>#memory set</v>
      </c>
      <c r="B163" s="533" t="str">
        <f>'Register Configuration'!H513</f>
        <v>0x3D403110</v>
      </c>
      <c r="C163" s="535">
        <v>32.0</v>
      </c>
      <c r="D163" s="533" t="str">
        <f>'Register Configuration'!I513</f>
        <v>0x02040202</v>
      </c>
      <c r="E163" s="532" t="s">
        <v>1115</v>
      </c>
      <c r="F163" s="532"/>
    </row>
    <row r="164" ht="12.75" customHeight="1">
      <c r="A164" s="532" t="str">
        <f>IF('Register Configuration'!H27 = 3, "memory set", "#memory set")</f>
        <v>#memory set</v>
      </c>
      <c r="B164" s="533" t="str">
        <f>'Register Configuration'!H518</f>
        <v>0x3D403114</v>
      </c>
      <c r="C164" s="535">
        <v>32.0</v>
      </c>
      <c r="D164" s="533" t="str">
        <f>'Register Configuration'!I518</f>
        <v>0x02030202</v>
      </c>
      <c r="E164" s="532" t="s">
        <v>1116</v>
      </c>
      <c r="F164" s="532"/>
    </row>
    <row r="165" ht="12.75" customHeight="1">
      <c r="A165" s="532" t="str">
        <f>IF('Register Configuration'!H27 = 3, "memory set", "#memory set")</f>
        <v>#memory set</v>
      </c>
      <c r="B165" s="533" t="str">
        <f>'Register Configuration'!H523</f>
        <v>0x3D403118</v>
      </c>
      <c r="C165" s="535">
        <v>32.0</v>
      </c>
      <c r="D165" s="533" t="str">
        <f>'Register Configuration'!I523</f>
        <v>0x01010004</v>
      </c>
      <c r="E165" s="532" t="s">
        <v>1117</v>
      </c>
      <c r="F165" s="532"/>
    </row>
    <row r="166" ht="12.75" customHeight="1">
      <c r="A166" s="532" t="str">
        <f>IF('Register Configuration'!H27 = 3, "memory set", "#memory set")</f>
        <v>#memory set</v>
      </c>
      <c r="B166" s="533" t="str">
        <f>'Register Configuration'!H527</f>
        <v>0x3D40311C</v>
      </c>
      <c r="C166" s="535">
        <v>32.0</v>
      </c>
      <c r="D166" s="533" t="str">
        <f>'Register Configuration'!I527</f>
        <v>0x00000301</v>
      </c>
      <c r="E166" s="532" t="s">
        <v>1118</v>
      </c>
      <c r="F166" s="532"/>
    </row>
    <row r="167" ht="12.75" customHeight="1">
      <c r="A167" s="532" t="str">
        <f>IF('Register Configuration'!H27 = 3, "memory set", "#memory set")</f>
        <v>#memory set</v>
      </c>
      <c r="B167" s="533" t="str">
        <f>'Register Configuration'!H530</f>
        <v>0x3D403130</v>
      </c>
      <c r="C167" s="535">
        <v>32.0</v>
      </c>
      <c r="D167" s="533" t="str">
        <f>'Register Configuration'!I530</f>
        <v>0x00020300</v>
      </c>
      <c r="E167" s="532" t="s">
        <v>1119</v>
      </c>
      <c r="F167" s="532"/>
    </row>
    <row r="168" ht="12.75" customHeight="1">
      <c r="A168" s="532" t="str">
        <f>IF('Register Configuration'!H27 = 3, "memory set", "#memory set")</f>
        <v>#memory set</v>
      </c>
      <c r="B168" s="533" t="str">
        <f>'Register Configuration'!H534</f>
        <v>0x3D403134</v>
      </c>
      <c r="C168" s="535">
        <v>32.0</v>
      </c>
      <c r="D168" s="533" t="str">
        <f>'Register Configuration'!I534</f>
        <v>0x0A100002</v>
      </c>
      <c r="E168" s="532" t="s">
        <v>1120</v>
      </c>
      <c r="F168" s="532"/>
    </row>
    <row r="169" ht="12.75" customHeight="1">
      <c r="A169" s="532" t="str">
        <f>IF('Register Configuration'!H27 = 3, "memory set", "#memory set")</f>
        <v>#memory set</v>
      </c>
      <c r="B169" s="533" t="str">
        <f>'Register Configuration'!H538</f>
        <v>0x3D403138</v>
      </c>
      <c r="C169" s="535">
        <v>32.0</v>
      </c>
      <c r="D169" s="533" t="str">
        <f>'Register Configuration'!I538</f>
        <v>0x0000000A</v>
      </c>
      <c r="E169" s="532" t="s">
        <v>1121</v>
      </c>
      <c r="F169" s="532"/>
    </row>
    <row r="170" ht="12.75" customHeight="1">
      <c r="A170" s="532" t="str">
        <f>IF('Register Configuration'!H27 = 3, "memory set", "#memory set")</f>
        <v>#memory set</v>
      </c>
      <c r="B170" s="533" t="str">
        <f>'Register Configuration'!H540</f>
        <v>0x3D403144</v>
      </c>
      <c r="C170" s="535">
        <v>32.0</v>
      </c>
      <c r="D170" s="533" t="str">
        <f>'Register Configuration'!I540</f>
        <v>0x00050003</v>
      </c>
      <c r="E170" s="532" t="s">
        <v>1122</v>
      </c>
      <c r="F170" s="532"/>
    </row>
    <row r="171" ht="12.75" customHeight="1">
      <c r="A171" s="532" t="str">
        <f>IF('Register Configuration'!H27 = 3, "memory set", "#memory set")</f>
        <v>#memory set</v>
      </c>
      <c r="B171" s="533" t="str">
        <f>'Register Configuration'!H557</f>
        <v>0x3D403180</v>
      </c>
      <c r="C171" s="535">
        <v>32.0</v>
      </c>
      <c r="D171" s="533" t="str">
        <f>'Register Configuration'!I557</f>
        <v>0x00190004</v>
      </c>
      <c r="E171" s="532" t="s">
        <v>1123</v>
      </c>
      <c r="F171" s="532"/>
    </row>
    <row r="172" ht="12.75" customHeight="1">
      <c r="A172" s="532" t="str">
        <f>IF('Register Configuration'!H27 = 3, "memory set", "#memory set")</f>
        <v>#memory set</v>
      </c>
      <c r="B172" s="533" t="str">
        <f>'Register Configuration'!H564</f>
        <v>0x3D403190</v>
      </c>
      <c r="C172" s="535">
        <v>32.0</v>
      </c>
      <c r="D172" s="533" t="str">
        <f>'Register Configuration'!I564</f>
        <v>0x03818200</v>
      </c>
      <c r="E172" s="532" t="s">
        <v>1124</v>
      </c>
      <c r="F172" s="532"/>
    </row>
    <row r="173" ht="12.75" customHeight="1">
      <c r="A173" s="532" t="str">
        <f>IF('Register Configuration'!H27 = 3, "memory set", "#memory set")</f>
        <v>#memory set</v>
      </c>
      <c r="B173" s="533" t="str">
        <f>'Register Configuration'!H571</f>
        <v>0x3D403194</v>
      </c>
      <c r="C173" s="535">
        <v>32.0</v>
      </c>
      <c r="D173" s="533" t="str">
        <f>'Register Configuration'!I571</f>
        <v>0x00080303</v>
      </c>
      <c r="E173" s="532" t="s">
        <v>1125</v>
      </c>
      <c r="F173" s="532"/>
    </row>
    <row r="174" ht="12.75" customHeight="1">
      <c r="A174" s="532" t="str">
        <f>IF('Register Configuration'!H27 = 3, "memory set", "#memory set")</f>
        <v>#memory set</v>
      </c>
      <c r="B174" s="533" t="str">
        <f>'Register Configuration'!H577</f>
        <v>0x3D4031B4</v>
      </c>
      <c r="C174" s="535">
        <v>32.0</v>
      </c>
      <c r="D174" s="533" t="str">
        <f>'Register Configuration'!I577</f>
        <v>0x00000100</v>
      </c>
      <c r="E174" s="532" t="s">
        <v>1126</v>
      </c>
      <c r="F174" s="532"/>
    </row>
    <row r="175" ht="12.75" customHeight="1">
      <c r="A175" s="532" t="str">
        <f>IF('Register Configuration'!H27 = 3, "memory set", "#memory set")</f>
        <v>#memory set</v>
      </c>
      <c r="B175" s="533" t="str">
        <f>'Register Configuration'!H620</f>
        <v>0x3D4030F4</v>
      </c>
      <c r="C175" s="535">
        <v>32.0</v>
      </c>
      <c r="D175" s="533" t="str">
        <f>'Register Configuration'!I620</f>
        <v>0x00000C99</v>
      </c>
      <c r="E175" s="532" t="s">
        <v>1127</v>
      </c>
      <c r="F175" s="532"/>
    </row>
    <row r="176" ht="12.75" customHeight="1">
      <c r="A176" s="532"/>
      <c r="B176" s="531"/>
      <c r="C176" s="535"/>
      <c r="D176" s="531"/>
      <c r="E176" s="532"/>
      <c r="F176" s="532"/>
    </row>
    <row r="177" ht="12.75" customHeight="1">
      <c r="A177" s="532" t="s">
        <v>1013</v>
      </c>
      <c r="B177" s="533" t="str">
        <f>'Register Configuration'!H59</f>
        <v>0x3D400028</v>
      </c>
      <c r="C177" s="535">
        <v>32.0</v>
      </c>
      <c r="D177" s="533" t="str">
        <f>'Register Configuration'!I59</f>
        <v>0x00000000</v>
      </c>
      <c r="E177" s="532" t="s">
        <v>1128</v>
      </c>
    </row>
    <row r="178" ht="12.75" customHeight="1">
      <c r="A178" s="532"/>
      <c r="B178" s="531"/>
      <c r="C178" s="535"/>
      <c r="D178" s="531"/>
      <c r="E178" s="532"/>
    </row>
    <row r="179" ht="12.75" customHeight="1">
      <c r="A179" s="532" t="s">
        <v>1129</v>
      </c>
      <c r="B179" s="531"/>
      <c r="C179" s="532"/>
      <c r="D179" s="531"/>
      <c r="E179" s="532"/>
    </row>
    <row r="180" ht="12.75" customHeight="1">
      <c r="A180" s="532" t="s">
        <v>963</v>
      </c>
      <c r="B180" s="531" t="s">
        <v>971</v>
      </c>
      <c r="C180" s="535">
        <v>32.0</v>
      </c>
      <c r="D180" s="531" t="s">
        <v>1130</v>
      </c>
      <c r="E180" s="532" t="s">
        <v>992</v>
      </c>
    </row>
    <row r="181" ht="12.75" customHeight="1">
      <c r="A181" s="532" t="s">
        <v>963</v>
      </c>
      <c r="B181" s="531" t="s">
        <v>971</v>
      </c>
      <c r="C181" s="535">
        <v>32.0</v>
      </c>
      <c r="D181" s="531" t="s">
        <v>991</v>
      </c>
      <c r="E181" s="532" t="s">
        <v>992</v>
      </c>
    </row>
    <row r="182" ht="12.75" customHeight="1">
      <c r="A182" s="532"/>
      <c r="B182" s="531"/>
      <c r="C182" s="535"/>
      <c r="D182" s="531"/>
      <c r="E182" s="532"/>
    </row>
    <row r="183" ht="12.75" customHeight="1">
      <c r="A183" s="532" t="s">
        <v>1013</v>
      </c>
      <c r="B183" s="531" t="s">
        <v>1131</v>
      </c>
      <c r="C183" s="535">
        <v>32.0</v>
      </c>
      <c r="D183" s="531" t="s">
        <v>965</v>
      </c>
      <c r="E183" s="532" t="s">
        <v>1132</v>
      </c>
    </row>
    <row r="184" ht="12.75" customHeight="1">
      <c r="A184" s="532" t="s">
        <v>963</v>
      </c>
      <c r="B184" s="533" t="str">
        <f>'Register Configuration'!H194</f>
        <v>0x3D400030</v>
      </c>
      <c r="C184" s="535">
        <v>32.0</v>
      </c>
      <c r="D184" s="533" t="str">
        <f>'Register Configuration'!I194</f>
        <v>0x000000A8</v>
      </c>
      <c r="E184" s="532" t="s">
        <v>1133</v>
      </c>
    </row>
    <row r="185" ht="12.75" customHeight="1">
      <c r="A185" s="532" t="s">
        <v>963</v>
      </c>
      <c r="B185" s="531" t="s">
        <v>1134</v>
      </c>
      <c r="C185" s="535">
        <v>32.0</v>
      </c>
      <c r="D185" s="531" t="s">
        <v>965</v>
      </c>
      <c r="E185" s="532" t="s">
        <v>1135</v>
      </c>
    </row>
    <row r="186" ht="12.75" customHeight="1">
      <c r="A186" s="532"/>
      <c r="B186" s="531"/>
      <c r="C186" s="535"/>
      <c r="D186" s="531"/>
      <c r="E186" s="532"/>
    </row>
    <row r="187" ht="12.75" customHeight="1">
      <c r="A187" s="532" t="s">
        <v>963</v>
      </c>
      <c r="B187" s="531" t="s">
        <v>1136</v>
      </c>
      <c r="C187" s="535">
        <v>32.0</v>
      </c>
      <c r="D187" s="531" t="s">
        <v>1015</v>
      </c>
      <c r="E187" s="532" t="s">
        <v>1137</v>
      </c>
    </row>
    <row r="188" ht="12.75" customHeight="1">
      <c r="A188" s="532"/>
      <c r="B188" s="531"/>
      <c r="C188" s="535"/>
      <c r="D188" s="531"/>
      <c r="E188" s="532"/>
    </row>
    <row r="189" ht="12.75" customHeight="1">
      <c r="A189" s="532" t="s">
        <v>963</v>
      </c>
      <c r="B189" s="531" t="s">
        <v>1138</v>
      </c>
      <c r="C189" s="535">
        <v>32.0</v>
      </c>
      <c r="D189" s="531" t="s">
        <v>1139</v>
      </c>
      <c r="E189" s="532" t="s">
        <v>1140</v>
      </c>
      <c r="F189" s="532"/>
    </row>
    <row r="190" ht="12.75" customHeight="1">
      <c r="A190" s="532"/>
      <c r="B190" s="531"/>
      <c r="C190" s="535"/>
      <c r="D190" s="531"/>
      <c r="E190" s="532"/>
      <c r="F190" s="532"/>
    </row>
    <row r="191" ht="12.75" customHeight="1">
      <c r="A191" s="532" t="s">
        <v>1141</v>
      </c>
      <c r="B191" s="531"/>
      <c r="C191" s="535"/>
      <c r="D191" s="531"/>
      <c r="E191" s="532"/>
      <c r="F191" s="532"/>
    </row>
    <row r="192" ht="12.75" customHeight="1">
      <c r="A192" s="532" t="s">
        <v>963</v>
      </c>
      <c r="B192" s="531" t="s">
        <v>1142</v>
      </c>
      <c r="C192" s="535">
        <v>32.0</v>
      </c>
      <c r="D192" s="533" t="str">
        <f t="array" ref="D192">INDEX(BoardDataBusConfig!F$16:F$47, MATCH("DDR_PHY_Dq0LnSel_0", BoardDataBusConfig!B$16:B$47,0),1)</f>
        <v>0x00000006</v>
      </c>
      <c r="E192" s="532" t="s">
        <v>1143</v>
      </c>
      <c r="F192" s="532"/>
    </row>
    <row r="193" ht="12.75" customHeight="1">
      <c r="A193" s="532" t="s">
        <v>963</v>
      </c>
      <c r="B193" s="531" t="s">
        <v>1144</v>
      </c>
      <c r="C193" s="535">
        <v>32.0</v>
      </c>
      <c r="D193" s="533" t="str">
        <f t="array" ref="D193">INDEX(BoardDataBusConfig!F$16:F$47, MATCH("DDR_PHY_Dq1LnSel_0", BoardDataBusConfig!B$16:B$47,0),1)</f>
        <v>0x00000005</v>
      </c>
      <c r="E193" s="532" t="s">
        <v>1145</v>
      </c>
      <c r="F193" s="532"/>
    </row>
    <row r="194" ht="12.75" customHeight="1">
      <c r="A194" s="532" t="s">
        <v>963</v>
      </c>
      <c r="B194" s="531" t="s">
        <v>1146</v>
      </c>
      <c r="C194" s="535">
        <v>32.0</v>
      </c>
      <c r="D194" s="533" t="str">
        <f t="array" ref="D194">INDEX(BoardDataBusConfig!F$16:F$47, MATCH("DDR_PHY_Dq2LnSel_0", BoardDataBusConfig!B$16:B$47,0),1)</f>
        <v>0x00000002</v>
      </c>
      <c r="E194" s="532" t="s">
        <v>1147</v>
      </c>
      <c r="F194" s="532"/>
    </row>
    <row r="195" ht="12.75" customHeight="1">
      <c r="A195" s="532" t="s">
        <v>963</v>
      </c>
      <c r="B195" s="531" t="s">
        <v>1148</v>
      </c>
      <c r="C195" s="535">
        <v>32.0</v>
      </c>
      <c r="D195" s="533" t="str">
        <f t="array" ref="D195">INDEX(BoardDataBusConfig!F$16:F$47, MATCH("DDR_PHY_Dq3LnSel_0", BoardDataBusConfig!B$16:B$47,0),1)</f>
        <v>0x00000003</v>
      </c>
      <c r="E195" s="532" t="s">
        <v>1149</v>
      </c>
      <c r="F195" s="532"/>
    </row>
    <row r="196" ht="12.75" customHeight="1">
      <c r="A196" s="532" t="s">
        <v>963</v>
      </c>
      <c r="B196" s="531" t="s">
        <v>1150</v>
      </c>
      <c r="C196" s="535">
        <v>32.0</v>
      </c>
      <c r="D196" s="533" t="str">
        <f t="array" ref="D196">INDEX(BoardDataBusConfig!F$16:F$47, MATCH("DDR_PHY_Dq4LnSel_0", BoardDataBusConfig!B$16:B$47,0),1)</f>
        <v>0x00000001</v>
      </c>
      <c r="E196" s="532" t="s">
        <v>1151</v>
      </c>
      <c r="F196" s="532"/>
    </row>
    <row r="197" ht="12.75" customHeight="1">
      <c r="A197" s="532" t="s">
        <v>963</v>
      </c>
      <c r="B197" s="531" t="s">
        <v>1152</v>
      </c>
      <c r="C197" s="535">
        <v>32.0</v>
      </c>
      <c r="D197" s="533" t="str">
        <f t="array" ref="D197">INDEX(BoardDataBusConfig!F$16:F$47, MATCH("DDR_PHY_Dq5LnSel_0", BoardDataBusConfig!B$16:B$47,0),1)</f>
        <v>0x00000007</v>
      </c>
      <c r="E197" s="532" t="s">
        <v>1153</v>
      </c>
      <c r="F197" s="532"/>
    </row>
    <row r="198" ht="12.75" customHeight="1">
      <c r="A198" s="532" t="s">
        <v>963</v>
      </c>
      <c r="B198" s="531" t="s">
        <v>1154</v>
      </c>
      <c r="C198" s="535">
        <v>32.0</v>
      </c>
      <c r="D198" s="533" t="str">
        <f t="array" ref="D198">INDEX(BoardDataBusConfig!F$16:F$47, MATCH("DDR_PHY_Dq6LnSel_0", BoardDataBusConfig!B$16:B$47,0),1)</f>
        <v>0x00000004</v>
      </c>
      <c r="E198" s="532" t="s">
        <v>1155</v>
      </c>
      <c r="F198" s="532"/>
    </row>
    <row r="199" ht="12.75" customHeight="1">
      <c r="A199" s="532" t="s">
        <v>963</v>
      </c>
      <c r="B199" s="531" t="s">
        <v>1156</v>
      </c>
      <c r="C199" s="535">
        <v>32.0</v>
      </c>
      <c r="D199" s="533" t="str">
        <f t="array" ref="D199">INDEX(BoardDataBusConfig!F$16:F$47, MATCH("DDR_PHY_Dq7LnSel_0", BoardDataBusConfig!B$16:B$47,0),1)</f>
        <v>0x00000000</v>
      </c>
      <c r="E199" s="532" t="s">
        <v>1157</v>
      </c>
      <c r="F199" s="532"/>
    </row>
    <row r="200" ht="12.75" customHeight="1">
      <c r="A200" s="532" t="s">
        <v>963</v>
      </c>
      <c r="B200" s="531" t="s">
        <v>1158</v>
      </c>
      <c r="C200" s="535">
        <v>32.0</v>
      </c>
      <c r="D200" s="533" t="str">
        <f t="array" ref="D200">INDEX(BoardDataBusConfig!F$16:F$47, MATCH("DDR_PHY_Dq0LnSel_1", BoardDataBusConfig!B$16:B$47,0),1)</f>
        <v>0x00000004</v>
      </c>
      <c r="E200" s="532" t="s">
        <v>1159</v>
      </c>
      <c r="F200" s="532"/>
    </row>
    <row r="201" ht="12.75" customHeight="1">
      <c r="A201" s="532" t="s">
        <v>963</v>
      </c>
      <c r="B201" s="531" t="s">
        <v>1160</v>
      </c>
      <c r="C201" s="535">
        <v>32.0</v>
      </c>
      <c r="D201" s="533" t="str">
        <f t="array" ref="D201">INDEX(BoardDataBusConfig!F$16:F$47, MATCH("DDR_PHY_Dq1LnSel_1", BoardDataBusConfig!B$16:B$47,0),1)</f>
        <v>0x00000001</v>
      </c>
      <c r="E201" s="532" t="s">
        <v>1161</v>
      </c>
      <c r="F201" s="532"/>
    </row>
    <row r="202" ht="12.75" customHeight="1">
      <c r="A202" s="532" t="s">
        <v>963</v>
      </c>
      <c r="B202" s="531" t="s">
        <v>1162</v>
      </c>
      <c r="C202" s="535">
        <v>32.0</v>
      </c>
      <c r="D202" s="533" t="str">
        <f t="array" ref="D202">INDEX(BoardDataBusConfig!F$16:F$47, MATCH("DDR_PHY_Dq2LnSel_1", BoardDataBusConfig!B$16:B$47,0),1)</f>
        <v>0x00000005</v>
      </c>
      <c r="E202" s="532" t="s">
        <v>1163</v>
      </c>
      <c r="F202" s="532"/>
    </row>
    <row r="203" ht="12.75" customHeight="1">
      <c r="A203" s="532" t="s">
        <v>963</v>
      </c>
      <c r="B203" s="531" t="s">
        <v>1164</v>
      </c>
      <c r="C203" s="535">
        <v>32.0</v>
      </c>
      <c r="D203" s="533" t="str">
        <f t="array" ref="D203">INDEX(BoardDataBusConfig!F$16:F$47, MATCH("DDR_PHY_Dq3LnSel_1", BoardDataBusConfig!B$16:B$47,0),1)</f>
        <v>0x00000002</v>
      </c>
      <c r="E203" s="532" t="s">
        <v>1165</v>
      </c>
      <c r="F203" s="532"/>
    </row>
    <row r="204" ht="12.75" customHeight="1">
      <c r="A204" s="532" t="s">
        <v>963</v>
      </c>
      <c r="B204" s="531" t="s">
        <v>1166</v>
      </c>
      <c r="C204" s="535">
        <v>32.0</v>
      </c>
      <c r="D204" s="533" t="str">
        <f t="array" ref="D204">INDEX(BoardDataBusConfig!F$16:F$47, MATCH("DDR_PHY_Dq4LnSel_1", BoardDataBusConfig!B$16:B$47,0),1)</f>
        <v>0x00000000</v>
      </c>
      <c r="E204" s="532" t="s">
        <v>1167</v>
      </c>
      <c r="F204" s="532"/>
    </row>
    <row r="205" ht="12.75" customHeight="1">
      <c r="A205" s="532" t="s">
        <v>963</v>
      </c>
      <c r="B205" s="531" t="s">
        <v>1168</v>
      </c>
      <c r="C205" s="535">
        <v>32.0</v>
      </c>
      <c r="D205" s="533" t="str">
        <f t="array" ref="D205">INDEX(BoardDataBusConfig!F$16:F$47, MATCH("DDR_PHY_Dq5LnSel_1", BoardDataBusConfig!B$16:B$47,0),1)</f>
        <v>0x00000003</v>
      </c>
      <c r="E205" s="532" t="s">
        <v>1169</v>
      </c>
      <c r="F205" s="532"/>
    </row>
    <row r="206" ht="12.75" customHeight="1">
      <c r="A206" s="532" t="s">
        <v>963</v>
      </c>
      <c r="B206" s="531" t="s">
        <v>1170</v>
      </c>
      <c r="C206" s="535">
        <v>32.0</v>
      </c>
      <c r="D206" s="533" t="str">
        <f t="array" ref="D206">INDEX(BoardDataBusConfig!F$16:F$47, MATCH("DDR_PHY_Dq6LnSel_1", BoardDataBusConfig!B$16:B$47,0),1)</f>
        <v>0x00000007</v>
      </c>
      <c r="E206" s="532" t="s">
        <v>1171</v>
      </c>
      <c r="F206" s="532"/>
    </row>
    <row r="207" ht="12.75" customHeight="1">
      <c r="A207" s="532" t="s">
        <v>963</v>
      </c>
      <c r="B207" s="531" t="s">
        <v>1172</v>
      </c>
      <c r="C207" s="535">
        <v>32.0</v>
      </c>
      <c r="D207" s="533" t="str">
        <f t="array" ref="D207">INDEX(BoardDataBusConfig!F$16:F$47, MATCH("DDR_PHY_Dq7LnSel_1", BoardDataBusConfig!B$16:B$47,0),1)</f>
        <v>0x00000006</v>
      </c>
      <c r="E207" s="532" t="s">
        <v>1173</v>
      </c>
      <c r="F207" s="532"/>
    </row>
    <row r="208" ht="12.75" customHeight="1">
      <c r="A208" s="532" t="s">
        <v>963</v>
      </c>
      <c r="B208" s="531" t="s">
        <v>1174</v>
      </c>
      <c r="C208" s="535">
        <v>32.0</v>
      </c>
      <c r="D208" s="533" t="str">
        <f t="array" ref="D208">INDEX(BoardDataBusConfig!F$16:F$47, MATCH("DDR_PHY_Dq0LnSel_2", BoardDataBusConfig!B$16:B$47,0),1)</f>
        <v>0x00000002</v>
      </c>
      <c r="E208" s="532" t="s">
        <v>1175</v>
      </c>
      <c r="F208" s="532"/>
    </row>
    <row r="209" ht="12.75" customHeight="1">
      <c r="A209" s="532" t="s">
        <v>963</v>
      </c>
      <c r="B209" s="531" t="s">
        <v>1176</v>
      </c>
      <c r="C209" s="535">
        <v>32.0</v>
      </c>
      <c r="D209" s="533" t="str">
        <f t="array" ref="D209">INDEX(BoardDataBusConfig!F$16:F$47, MATCH("DDR_PHY_Dq1LnSel_2", BoardDataBusConfig!B$16:B$47,0),1)</f>
        <v>0x00000005</v>
      </c>
      <c r="E209" s="532" t="s">
        <v>1177</v>
      </c>
      <c r="F209" s="532"/>
    </row>
    <row r="210" ht="12.75" customHeight="1">
      <c r="A210" s="532" t="s">
        <v>963</v>
      </c>
      <c r="B210" s="531" t="s">
        <v>1178</v>
      </c>
      <c r="C210" s="535">
        <v>32.0</v>
      </c>
      <c r="D210" s="533" t="str">
        <f t="array" ref="D210">INDEX(BoardDataBusConfig!F$16:F$47, MATCH("DDR_PHY_Dq2LnSel_2", BoardDataBusConfig!B$16:B$47,0),1)</f>
        <v>0x00000004</v>
      </c>
      <c r="E210" s="532" t="s">
        <v>1179</v>
      </c>
      <c r="F210" s="532"/>
    </row>
    <row r="211" ht="12.75" customHeight="1">
      <c r="A211" s="532" t="s">
        <v>963</v>
      </c>
      <c r="B211" s="531" t="s">
        <v>1180</v>
      </c>
      <c r="C211" s="535">
        <v>32.0</v>
      </c>
      <c r="D211" s="533" t="str">
        <f t="array" ref="D211">INDEX(BoardDataBusConfig!F$16:F$47, MATCH("DDR_PHY_Dq3LnSel_2", BoardDataBusConfig!B$16:B$47,0),1)</f>
        <v>0x00000001</v>
      </c>
      <c r="E211" s="532" t="s">
        <v>1181</v>
      </c>
      <c r="F211" s="532"/>
    </row>
    <row r="212" ht="12.75" customHeight="1">
      <c r="A212" s="532" t="s">
        <v>963</v>
      </c>
      <c r="B212" s="531" t="s">
        <v>1182</v>
      </c>
      <c r="C212" s="535">
        <v>32.0</v>
      </c>
      <c r="D212" s="533" t="str">
        <f t="array" ref="D212">INDEX(BoardDataBusConfig!F$16:F$47, MATCH("DDR_PHY_Dq4LnSel_2", BoardDataBusConfig!B$16:B$47,0),1)</f>
        <v>0x00000003</v>
      </c>
      <c r="E212" s="532" t="s">
        <v>1183</v>
      </c>
      <c r="F212" s="532"/>
    </row>
    <row r="213" ht="12.75" customHeight="1">
      <c r="A213" s="532" t="s">
        <v>963</v>
      </c>
      <c r="B213" s="531" t="s">
        <v>1184</v>
      </c>
      <c r="C213" s="535">
        <v>32.0</v>
      </c>
      <c r="D213" s="533" t="str">
        <f t="array" ref="D213">INDEX(BoardDataBusConfig!F$16:F$47, MATCH("DDR_PHY_Dq5LnSel_2", BoardDataBusConfig!B$16:B$47,0),1)</f>
        <v>0x00000006</v>
      </c>
      <c r="E213" s="532" t="s">
        <v>1185</v>
      </c>
      <c r="F213" s="532"/>
    </row>
    <row r="214" ht="12.75" customHeight="1">
      <c r="A214" s="532" t="s">
        <v>963</v>
      </c>
      <c r="B214" s="531" t="s">
        <v>1186</v>
      </c>
      <c r="C214" s="535">
        <v>32.0</v>
      </c>
      <c r="D214" s="533" t="str">
        <f t="array" ref="D214">INDEX(BoardDataBusConfig!F$16:F$47, MATCH("DDR_PHY_Dq6LnSel_2", BoardDataBusConfig!B$16:B$47,0),1)</f>
        <v>0x00000000</v>
      </c>
      <c r="E214" s="532" t="s">
        <v>1187</v>
      </c>
      <c r="F214" s="532"/>
    </row>
    <row r="215" ht="12.75" customHeight="1">
      <c r="A215" s="532" t="s">
        <v>963</v>
      </c>
      <c r="B215" s="531" t="s">
        <v>1188</v>
      </c>
      <c r="C215" s="535">
        <v>32.0</v>
      </c>
      <c r="D215" s="533" t="str">
        <f t="array" ref="D215">INDEX(BoardDataBusConfig!F$16:F$47, MATCH("DDR_PHY_Dq7LnSel_2", BoardDataBusConfig!B$16:B$47,0),1)</f>
        <v>0x00000007</v>
      </c>
      <c r="E215" s="532" t="s">
        <v>1189</v>
      </c>
      <c r="F215" s="532"/>
    </row>
    <row r="216" ht="12.75" customHeight="1">
      <c r="A216" s="532" t="s">
        <v>963</v>
      </c>
      <c r="B216" s="531" t="s">
        <v>1190</v>
      </c>
      <c r="C216" s="535">
        <v>32.0</v>
      </c>
      <c r="D216" s="533" t="str">
        <f t="array" ref="D216">INDEX(BoardDataBusConfig!F$16:F$47, MATCH("DDR_PHY_Dq0LnSel_3", BoardDataBusConfig!B$16:B$47,0),1)</f>
        <v>0x00000000</v>
      </c>
      <c r="E216" s="532" t="s">
        <v>1191</v>
      </c>
      <c r="F216" s="532"/>
    </row>
    <row r="217" ht="12.75" customHeight="1">
      <c r="A217" s="532" t="s">
        <v>963</v>
      </c>
      <c r="B217" s="531" t="s">
        <v>1192</v>
      </c>
      <c r="C217" s="535">
        <v>32.0</v>
      </c>
      <c r="D217" s="533" t="str">
        <f t="array" ref="D217">INDEX(BoardDataBusConfig!F$16:F$47, MATCH("DDR_PHY_Dq1LnSel_3", BoardDataBusConfig!B$16:B$47,0),1)</f>
        <v>0x00000001</v>
      </c>
      <c r="E217" s="532" t="s">
        <v>1193</v>
      </c>
      <c r="F217" s="532"/>
    </row>
    <row r="218" ht="12.75" customHeight="1">
      <c r="A218" s="532" t="s">
        <v>963</v>
      </c>
      <c r="B218" s="531" t="s">
        <v>1194</v>
      </c>
      <c r="C218" s="535">
        <v>32.0</v>
      </c>
      <c r="D218" s="533" t="str">
        <f t="array" ref="D218">INDEX(BoardDataBusConfig!F$16:F$47, MATCH("DDR_PHY_Dq2LnSel_3", BoardDataBusConfig!B$16:B$47,0),1)</f>
        <v>0x00000007</v>
      </c>
      <c r="E218" s="532" t="s">
        <v>1195</v>
      </c>
      <c r="F218" s="532"/>
    </row>
    <row r="219" ht="12.75" customHeight="1">
      <c r="A219" s="532" t="s">
        <v>963</v>
      </c>
      <c r="B219" s="531" t="s">
        <v>1196</v>
      </c>
      <c r="C219" s="535">
        <v>32.0</v>
      </c>
      <c r="D219" s="533" t="str">
        <f t="array" ref="D219">INDEX(BoardDataBusConfig!F$16:F$47, MATCH("DDR_PHY_Dq3LnSel_3", BoardDataBusConfig!B$16:B$47,0),1)</f>
        <v>0x00000006</v>
      </c>
      <c r="E219" s="532" t="s">
        <v>1197</v>
      </c>
      <c r="F219" s="532"/>
    </row>
    <row r="220" ht="12.75" customHeight="1">
      <c r="A220" s="532" t="s">
        <v>963</v>
      </c>
      <c r="B220" s="531" t="s">
        <v>1198</v>
      </c>
      <c r="C220" s="535">
        <v>32.0</v>
      </c>
      <c r="D220" s="533" t="str">
        <f t="array" ref="D220">INDEX(BoardDataBusConfig!F$16:F$47, MATCH("DDR_PHY_Dq4LnSel_3", BoardDataBusConfig!B$16:B$47,0),1)</f>
        <v>0x00000004</v>
      </c>
      <c r="E220" s="532" t="s">
        <v>1199</v>
      </c>
      <c r="F220" s="532"/>
    </row>
    <row r="221" ht="12.75" customHeight="1">
      <c r="A221" s="532" t="s">
        <v>963</v>
      </c>
      <c r="B221" s="531" t="s">
        <v>1200</v>
      </c>
      <c r="C221" s="535">
        <v>32.0</v>
      </c>
      <c r="D221" s="533" t="str">
        <f t="array" ref="D221">INDEX(BoardDataBusConfig!F$16:F$47, MATCH("DDR_PHY_Dq5LnSel_3", BoardDataBusConfig!B$16:B$47,0),1)</f>
        <v>0x00000005</v>
      </c>
      <c r="E221" s="532" t="s">
        <v>1201</v>
      </c>
      <c r="F221" s="532"/>
    </row>
    <row r="222" ht="12.75" customHeight="1">
      <c r="A222" s="532" t="s">
        <v>963</v>
      </c>
      <c r="B222" s="531" t="s">
        <v>1202</v>
      </c>
      <c r="C222" s="535">
        <v>32.0</v>
      </c>
      <c r="D222" s="533" t="str">
        <f t="array" ref="D222">INDEX(BoardDataBusConfig!F$16:F$47, MATCH("DDR_PHY_Dq6LnSel_3", BoardDataBusConfig!B$16:B$47,0),1)</f>
        <v>0x00000003</v>
      </c>
      <c r="E222" s="532" t="s">
        <v>1203</v>
      </c>
      <c r="F222" s="532"/>
    </row>
    <row r="223" ht="12.75" customHeight="1">
      <c r="A223" s="532" t="s">
        <v>963</v>
      </c>
      <c r="B223" s="531" t="s">
        <v>1204</v>
      </c>
      <c r="C223" s="535">
        <v>32.0</v>
      </c>
      <c r="D223" s="533" t="str">
        <f t="array" ref="D223">INDEX(BoardDataBusConfig!F$16:F$47, MATCH("DDR_PHY_Dq7LnSel_3", BoardDataBusConfig!B$16:B$47,0),1)</f>
        <v>0x00000002</v>
      </c>
      <c r="E223" s="532" t="s">
        <v>1205</v>
      </c>
      <c r="F223" s="532"/>
    </row>
    <row r="224" ht="12.75" customHeight="1">
      <c r="A224" s="532"/>
      <c r="B224" s="531"/>
      <c r="C224" s="535"/>
      <c r="D224" s="531"/>
      <c r="E224" s="532"/>
      <c r="F224" s="532"/>
    </row>
    <row r="225" ht="12.75" customHeight="1">
      <c r="A225" s="532" t="s">
        <v>1206</v>
      </c>
      <c r="B225" s="531"/>
      <c r="C225" s="535"/>
      <c r="D225" s="531"/>
      <c r="E225" s="532"/>
      <c r="F225" s="532"/>
    </row>
    <row r="226" ht="12.75" customHeight="1">
      <c r="A226" s="532" t="s">
        <v>1207</v>
      </c>
      <c r="B226" s="531"/>
      <c r="C226" s="532"/>
      <c r="D226" s="531"/>
      <c r="E226" s="532"/>
    </row>
    <row r="227" ht="12.75" customHeight="1">
      <c r="A227" s="532" t="s">
        <v>1206</v>
      </c>
      <c r="B227" s="531"/>
      <c r="C227" s="532"/>
      <c r="D227" s="531"/>
      <c r="E227" s="532"/>
    </row>
    <row r="228" ht="12.75" customHeight="1">
      <c r="A228" s="532"/>
      <c r="B228" s="531"/>
      <c r="C228" s="532"/>
      <c r="D228" s="531"/>
      <c r="E228" s="532"/>
    </row>
    <row r="229" ht="12.75" customHeight="1">
      <c r="A229" s="532" t="s">
        <v>1208</v>
      </c>
      <c r="B229" s="531" t="s">
        <v>1209</v>
      </c>
      <c r="C229" s="532"/>
      <c r="D229" s="531">
        <v>2.0</v>
      </c>
      <c r="E229" s="531" t="s">
        <v>1210</v>
      </c>
      <c r="F229" s="532"/>
    </row>
    <row r="230" ht="12.75" customHeight="1">
      <c r="A230" s="532"/>
      <c r="B230" s="531"/>
      <c r="C230" s="532"/>
      <c r="D230" s="531"/>
      <c r="E230" s="531"/>
      <c r="F230" s="532"/>
    </row>
    <row r="231" ht="12.75" customHeight="1">
      <c r="A231" s="532" t="s">
        <v>1208</v>
      </c>
      <c r="B231" s="531" t="s">
        <v>833</v>
      </c>
      <c r="C231" s="532"/>
      <c r="D231" s="533">
        <f>'Register Configuration'!C688</f>
        <v>32</v>
      </c>
      <c r="E231" s="531" t="s">
        <v>1211</v>
      </c>
      <c r="F231" s="532"/>
    </row>
    <row r="232" ht="12.75" customHeight="1">
      <c r="A232" s="532"/>
      <c r="B232" s="531"/>
      <c r="C232" s="532"/>
      <c r="D232" s="531"/>
      <c r="E232" s="531"/>
      <c r="F232" s="532"/>
    </row>
    <row r="233" ht="12.75" customHeight="1">
      <c r="A233" s="532" t="s">
        <v>1208</v>
      </c>
      <c r="B233" s="531" t="s">
        <v>1212</v>
      </c>
      <c r="C233" s="532"/>
      <c r="D233" s="533">
        <f>'Register Configuration'!H27</f>
        <v>1</v>
      </c>
      <c r="E233" s="531" t="s">
        <v>1213</v>
      </c>
      <c r="F233" s="532"/>
    </row>
    <row r="234" ht="12.75" customHeight="1">
      <c r="A234" s="532"/>
      <c r="B234" s="531"/>
      <c r="C234" s="532"/>
      <c r="D234" s="531"/>
      <c r="E234" s="531"/>
      <c r="F234" s="532"/>
    </row>
    <row r="235" ht="12.75" customHeight="1">
      <c r="A235" s="532" t="s">
        <v>1208</v>
      </c>
      <c r="B235" s="531" t="s">
        <v>1214</v>
      </c>
      <c r="C235" s="532"/>
      <c r="D235" s="533">
        <f>IF('Register Configuration'!I27="ENABLED", 1, 0)</f>
        <v>1</v>
      </c>
      <c r="E235" s="531" t="s">
        <v>1215</v>
      </c>
      <c r="F235" s="532"/>
    </row>
    <row r="236" ht="12.75" customHeight="1">
      <c r="A236" s="532"/>
      <c r="B236" s="531"/>
      <c r="C236" s="532"/>
      <c r="D236" s="531"/>
      <c r="E236" s="531"/>
      <c r="F236" s="532"/>
    </row>
    <row r="237" ht="12.75" customHeight="1">
      <c r="A237" s="532" t="s">
        <v>1208</v>
      </c>
      <c r="B237" s="531" t="s">
        <v>828</v>
      </c>
      <c r="C237" s="532"/>
      <c r="D237" s="533" t="str">
        <f>'Register Configuration'!C684</f>
        <v>0x14</v>
      </c>
      <c r="E237" s="531" t="s">
        <v>1216</v>
      </c>
      <c r="F237" s="532"/>
    </row>
    <row r="238" ht="12.75" customHeight="1">
      <c r="A238" s="532"/>
      <c r="B238" s="531"/>
      <c r="C238" s="532"/>
      <c r="D238" s="531"/>
      <c r="E238" s="531"/>
      <c r="F238" s="532"/>
    </row>
    <row r="239" ht="12.75" customHeight="1">
      <c r="A239" s="532" t="s">
        <v>1208</v>
      </c>
      <c r="B239" s="531" t="s">
        <v>831</v>
      </c>
      <c r="C239" s="532"/>
      <c r="D239" s="533" t="str">
        <f>'Register Configuration'!C686</f>
        <v>0x1</v>
      </c>
      <c r="E239" s="531"/>
      <c r="F239" s="532"/>
    </row>
    <row r="240" ht="12.75" customHeight="1">
      <c r="A240" s="532"/>
      <c r="B240" s="531"/>
      <c r="C240" s="532"/>
      <c r="D240" s="531"/>
      <c r="E240" s="531"/>
      <c r="F240" s="532"/>
    </row>
    <row r="241" ht="12.75" customHeight="1">
      <c r="A241" s="532" t="s">
        <v>1217</v>
      </c>
      <c r="B241" s="531"/>
      <c r="C241" s="532"/>
      <c r="D241" s="531"/>
      <c r="E241" s="531"/>
      <c r="F241" s="532"/>
    </row>
    <row r="242" ht="12.75" customHeight="1">
      <c r="A242" s="532" t="s">
        <v>1208</v>
      </c>
      <c r="B242" s="531" t="s">
        <v>1218</v>
      </c>
      <c r="C242" s="532"/>
      <c r="D242" s="533">
        <f>'Register Configuration'!C29</f>
        <v>2000</v>
      </c>
      <c r="E242" s="532" t="s">
        <v>1219</v>
      </c>
    </row>
    <row r="243" ht="12.75" customHeight="1">
      <c r="A243" s="532" t="s">
        <v>1208</v>
      </c>
      <c r="B243" s="531" t="s">
        <v>1220</v>
      </c>
      <c r="C243" s="532"/>
      <c r="D243" s="531">
        <v>0.0</v>
      </c>
      <c r="E243" s="532"/>
    </row>
    <row r="244" ht="12.75" customHeight="1">
      <c r="A244" s="532" t="s">
        <v>1221</v>
      </c>
      <c r="B244" s="531" t="s">
        <v>976</v>
      </c>
      <c r="C244" s="535">
        <v>32.0</v>
      </c>
      <c r="D244" s="531" t="s">
        <v>977</v>
      </c>
      <c r="E244" s="532" t="s">
        <v>1222</v>
      </c>
    </row>
    <row r="245" ht="12.75" customHeight="1">
      <c r="A245" s="532" t="s">
        <v>1221</v>
      </c>
      <c r="B245" s="531" t="s">
        <v>979</v>
      </c>
      <c r="C245" s="535">
        <v>32.0</v>
      </c>
      <c r="D245" s="531" t="s">
        <v>980</v>
      </c>
      <c r="E245" s="532" t="s">
        <v>1223</v>
      </c>
    </row>
    <row r="246" ht="12.75" customHeight="1">
      <c r="A246" s="532" t="s">
        <v>1221</v>
      </c>
      <c r="B246" s="531" t="s">
        <v>983</v>
      </c>
      <c r="C246" s="535">
        <v>32.0</v>
      </c>
      <c r="D246" s="531" t="s">
        <v>984</v>
      </c>
      <c r="E246" s="532" t="s">
        <v>1224</v>
      </c>
    </row>
    <row r="247" ht="12.75" customHeight="1">
      <c r="A247" s="532" t="s">
        <v>1225</v>
      </c>
      <c r="B247" s="531" t="s">
        <v>987</v>
      </c>
      <c r="C247" s="535">
        <v>32.0</v>
      </c>
      <c r="D247" s="531" t="s">
        <v>1226</v>
      </c>
      <c r="E247" s="532" t="s">
        <v>989</v>
      </c>
    </row>
    <row r="248" ht="12.75" customHeight="1">
      <c r="A248" s="532" t="s">
        <v>1227</v>
      </c>
      <c r="B248" s="531" t="s">
        <v>997</v>
      </c>
      <c r="C248" s="535">
        <v>32.0</v>
      </c>
      <c r="D248" s="533" t="str">
        <f t="shared" ref="D248:E248" si="1">D45</f>
        <v>0xFA031</v>
      </c>
      <c r="E248" s="531" t="str">
        <f t="shared" si="1"/>
        <v>#DRAM_PLL_FDIV_CTL0: For 2000MHz, pll_main_div = 250, pll_pre_div = 3, pll_post_div = 1</v>
      </c>
      <c r="F248" s="532"/>
    </row>
    <row r="249" ht="12.75" customHeight="1">
      <c r="A249" s="532" t="s">
        <v>1227</v>
      </c>
      <c r="B249" s="531" t="s">
        <v>999</v>
      </c>
      <c r="C249" s="535">
        <v>32.0</v>
      </c>
      <c r="D249" s="531" t="str">
        <f t="shared" ref="D249:E249" si="2">D46</f>
        <v>0x00000000</v>
      </c>
      <c r="E249" s="531" t="str">
        <f t="shared" si="2"/>
        <v>#DRAM_PLL_FDIV_CTL1: pll_dsm=0</v>
      </c>
      <c r="F249" s="532"/>
    </row>
    <row r="250" ht="12.75" customHeight="1">
      <c r="A250" s="532" t="s">
        <v>1228</v>
      </c>
      <c r="B250" s="531" t="s">
        <v>1229</v>
      </c>
      <c r="C250" s="535">
        <v>32.0</v>
      </c>
      <c r="D250" s="531" t="str">
        <f t="shared" ref="D250:E250" si="3">D47</f>
        <v>0x200 </v>
      </c>
      <c r="E250" s="531" t="str">
        <f t="shared" si="3"/>
        <v>#DRAM_PLL_GNRL_CTL: pll_rst = 1</v>
      </c>
      <c r="F250" s="532"/>
    </row>
    <row r="251" ht="12.75" customHeight="1">
      <c r="A251" s="532" t="s">
        <v>1230</v>
      </c>
      <c r="B251" s="531" t="s">
        <v>1002</v>
      </c>
      <c r="C251" s="535">
        <v>32.0</v>
      </c>
      <c r="D251" s="531" t="str">
        <f t="shared" ref="D251:E251" si="4">D48</f>
        <v>0x10</v>
      </c>
      <c r="E251" s="531" t="str">
        <f t="shared" si="4"/>
        <v>#DRAM_PLL_GNRL_CTL: pll_bypass = 0</v>
      </c>
      <c r="F251" s="532"/>
    </row>
    <row r="252" ht="12.75" customHeight="1">
      <c r="A252" s="532" t="s">
        <v>1231</v>
      </c>
      <c r="B252" s="531" t="s">
        <v>1002</v>
      </c>
      <c r="C252" s="535">
        <v>32.0</v>
      </c>
      <c r="D252" s="531" t="str">
        <f t="shared" ref="D252:E252" si="5">D49</f>
        <v>0x80000000</v>
      </c>
      <c r="E252" s="531" t="str">
        <f t="shared" si="5"/>
        <v>#DRAM_PLL_GNRL_CTL: check pll_lock=1?</v>
      </c>
      <c r="F252" s="532"/>
    </row>
    <row r="253" ht="12.75" customHeight="1">
      <c r="A253" s="532" t="s">
        <v>1232</v>
      </c>
      <c r="B253" s="531" t="s">
        <v>1233</v>
      </c>
      <c r="C253" s="535">
        <v>32.0</v>
      </c>
      <c r="D253" s="531" t="s">
        <v>1234</v>
      </c>
      <c r="E253" s="531" t="s">
        <v>1235</v>
      </c>
      <c r="F253" s="532"/>
    </row>
    <row r="254" ht="12.75" customHeight="1">
      <c r="A254" s="532"/>
      <c r="B254" s="531"/>
      <c r="C254" s="532"/>
      <c r="D254" s="531"/>
      <c r="E254" s="531"/>
      <c r="F254" s="532"/>
    </row>
    <row r="255" ht="12.75" customHeight="1">
      <c r="A255" s="532" t="s">
        <v>1236</v>
      </c>
      <c r="B255" s="531"/>
      <c r="C255" s="532"/>
      <c r="D255" s="531"/>
      <c r="E255" s="531"/>
      <c r="F255" s="532"/>
    </row>
    <row r="256" ht="12.75" customHeight="1">
      <c r="A256" s="532" t="s">
        <v>1237</v>
      </c>
      <c r="B256" s="531"/>
      <c r="C256" s="532"/>
      <c r="D256" s="531"/>
      <c r="E256" s="531"/>
      <c r="F256" s="532"/>
    </row>
    <row r="257" ht="12.75" customHeight="1">
      <c r="A257" s="532" t="str">
        <f>IF( 'Register Configuration'!H27&gt;1, "", "#")&amp;"ddrparam set"</f>
        <v>#ddrparam set</v>
      </c>
      <c r="B257" s="531" t="s">
        <v>1238</v>
      </c>
      <c r="C257" s="532"/>
      <c r="D257" s="533">
        <f>'Register Configuration'!C31</f>
        <v>200</v>
      </c>
      <c r="E257" s="531"/>
      <c r="F257" s="532"/>
    </row>
    <row r="258" ht="12.75" customHeight="1">
      <c r="A258" s="532" t="str">
        <f>IF( 'Register Configuration'!H27&gt;1, "", "#")&amp;"ddrparam set"</f>
        <v>#ddrparam set</v>
      </c>
      <c r="B258" s="531" t="s">
        <v>1239</v>
      </c>
      <c r="C258" s="532"/>
      <c r="D258" s="533">
        <f>IF(D257&lt;253, 1, 0)</f>
        <v>1</v>
      </c>
      <c r="E258" s="531"/>
      <c r="F258" s="532"/>
    </row>
    <row r="259" ht="12.75" customHeight="1">
      <c r="A259" s="532" t="str">
        <f>IF('Register Configuration'!H27&gt;1, "", "#")&amp;"freq1 set"</f>
        <v>#freq1 set</v>
      </c>
      <c r="B259" s="531" t="s">
        <v>1240</v>
      </c>
      <c r="C259" s="535">
        <v>32.0</v>
      </c>
      <c r="D259" s="531" t="s">
        <v>977</v>
      </c>
      <c r="E259" s="531" t="s">
        <v>1241</v>
      </c>
      <c r="F259" s="532"/>
    </row>
    <row r="260" ht="12.75" customHeight="1">
      <c r="A260" s="532" t="str">
        <f>IF( 'Register Configuration'!H27&gt;1, "", "#")&amp;"freq1 set"</f>
        <v>#freq1 set</v>
      </c>
      <c r="B260" s="531" t="s">
        <v>1242</v>
      </c>
      <c r="C260" s="535">
        <v>32.0</v>
      </c>
      <c r="D260" s="531" t="s">
        <v>1243</v>
      </c>
      <c r="E260" s="531" t="s">
        <v>1244</v>
      </c>
      <c r="F260" s="532"/>
    </row>
    <row r="261" ht="12.75" customHeight="1">
      <c r="A261" s="532" t="str">
        <f>IF( 'Register Configuration'!H27&gt;1, "", "#")&amp;"freq1 set"</f>
        <v>#freq1 set</v>
      </c>
      <c r="B261" s="531" t="s">
        <v>976</v>
      </c>
      <c r="C261" s="535">
        <v>32.0</v>
      </c>
      <c r="D261" s="531" t="s">
        <v>977</v>
      </c>
      <c r="E261" s="531" t="s">
        <v>1222</v>
      </c>
      <c r="F261" s="532"/>
    </row>
    <row r="262" ht="12.75" customHeight="1">
      <c r="A262" s="532" t="str">
        <f>IF( 'Register Configuration'!H27&gt;1, "", "#")&amp;"freq1 set"</f>
        <v>#freq1 set</v>
      </c>
      <c r="B262" s="531" t="s">
        <v>979</v>
      </c>
      <c r="C262" s="535">
        <v>32.0</v>
      </c>
      <c r="D262" s="531" t="s">
        <v>1245</v>
      </c>
      <c r="E262" s="531" t="s">
        <v>1246</v>
      </c>
      <c r="F262" s="532"/>
    </row>
    <row r="263" ht="12.75" customHeight="1">
      <c r="A263" s="532" t="str">
        <f>IF( 'Register Configuration'!H27&gt;1, "", "#")&amp;"freq1 set"</f>
        <v>#freq1 set</v>
      </c>
      <c r="B263" s="531" t="s">
        <v>983</v>
      </c>
      <c r="C263" s="535">
        <v>32.0</v>
      </c>
      <c r="D263" s="531" t="s">
        <v>984</v>
      </c>
      <c r="E263" s="531" t="s">
        <v>1224</v>
      </c>
      <c r="F263" s="532"/>
    </row>
    <row r="264" ht="12.75" customHeight="1">
      <c r="A264" s="532" t="str">
        <f>IF( 'Register Configuration'!H27&gt;1, "", "#")&amp;"freq1 setbit"</f>
        <v>#freq1 setbit</v>
      </c>
      <c r="B264" s="531" t="s">
        <v>987</v>
      </c>
      <c r="C264" s="535">
        <v>32.0</v>
      </c>
      <c r="D264" s="531" t="s">
        <v>1226</v>
      </c>
      <c r="E264" s="531" t="s">
        <v>989</v>
      </c>
      <c r="F264" s="532"/>
    </row>
    <row r="265" ht="12.75" customHeight="1">
      <c r="A265" s="532" t="str">
        <f>IF( 'Register Configuration'!H27&gt;1, "", "#")&amp;"freq1 set"</f>
        <v>#freq1 set</v>
      </c>
      <c r="B265" s="531" t="s">
        <v>1247</v>
      </c>
      <c r="C265" s="535">
        <v>32.0</v>
      </c>
      <c r="D265" s="531" t="s">
        <v>1234</v>
      </c>
      <c r="E265" s="531" t="s">
        <v>1248</v>
      </c>
      <c r="F265" s="532"/>
    </row>
    <row r="266" ht="12.75" customHeight="1">
      <c r="A266" s="532"/>
      <c r="B266" s="531"/>
      <c r="C266" s="532"/>
      <c r="D266" s="531"/>
      <c r="E266" s="531"/>
      <c r="F266" s="532"/>
    </row>
    <row r="267" ht="12.75" customHeight="1">
      <c r="A267" s="532" t="s">
        <v>1249</v>
      </c>
      <c r="B267" s="531"/>
      <c r="C267" s="532"/>
      <c r="D267" s="531"/>
      <c r="E267" s="531"/>
      <c r="F267" s="532"/>
    </row>
    <row r="268" ht="12.75" customHeight="1">
      <c r="A268" s="532" t="str">
        <f>IF('Register Configuration'!H27 = 3, "ddrparam set", "#ddrparam set")</f>
        <v>#ddrparam set</v>
      </c>
      <c r="B268" s="531" t="s">
        <v>1250</v>
      </c>
      <c r="C268" s="532"/>
      <c r="D268" s="533">
        <f>'Register Configuration'!C33</f>
        <v>50</v>
      </c>
      <c r="E268" s="531"/>
      <c r="F268" s="532"/>
    </row>
    <row r="269" ht="12.75" customHeight="1">
      <c r="A269" s="532" t="str">
        <f>IF('Register Configuration'!H27 = 3, "ddrparam set", "#ddrparam set")</f>
        <v>#ddrparam set</v>
      </c>
      <c r="B269" s="531" t="s">
        <v>1251</v>
      </c>
      <c r="C269" s="532"/>
      <c r="D269" s="533">
        <f>IF(D268&lt;253, 1, 0)</f>
        <v>1</v>
      </c>
      <c r="E269" s="531"/>
      <c r="F269" s="532"/>
    </row>
    <row r="270" ht="12.75" customHeight="1">
      <c r="A270" s="532" t="str">
        <f>IF('Register Configuration'!H27 = 3, "freq2 set", "#freq2 set")</f>
        <v>#freq2 set</v>
      </c>
      <c r="B270" s="531" t="s">
        <v>1240</v>
      </c>
      <c r="C270" s="535">
        <v>32.0</v>
      </c>
      <c r="D270" s="531" t="s">
        <v>977</v>
      </c>
      <c r="E270" s="531" t="s">
        <v>1241</v>
      </c>
      <c r="F270" s="532"/>
    </row>
    <row r="271" ht="12.75" customHeight="1">
      <c r="A271" s="532" t="str">
        <f>IF('Register Configuration'!H27 = 3, "freq2 set", "#freq2 set")</f>
        <v>#freq2 set</v>
      </c>
      <c r="B271" s="531" t="s">
        <v>1242</v>
      </c>
      <c r="C271" s="535">
        <v>32.0</v>
      </c>
      <c r="D271" s="531" t="s">
        <v>1252</v>
      </c>
      <c r="E271" s="531" t="s">
        <v>1253</v>
      </c>
      <c r="F271" s="532"/>
    </row>
    <row r="272" ht="12.75" customHeight="1">
      <c r="A272" s="532" t="str">
        <f>IF('Register Configuration'!H27 = 3, "freq2 set", "#freq2 set")</f>
        <v>#freq2 set</v>
      </c>
      <c r="B272" s="531" t="s">
        <v>976</v>
      </c>
      <c r="C272" s="535">
        <v>32.0</v>
      </c>
      <c r="D272" s="531" t="s">
        <v>977</v>
      </c>
      <c r="E272" s="531" t="s">
        <v>1222</v>
      </c>
      <c r="F272" s="532"/>
    </row>
    <row r="273" ht="12.75" customHeight="1">
      <c r="A273" s="532" t="str">
        <f>IF('Register Configuration'!H27 = 3, "freq2 set", "#freq2 set")</f>
        <v>#freq2 set</v>
      </c>
      <c r="B273" s="531" t="s">
        <v>979</v>
      </c>
      <c r="C273" s="535">
        <v>32.0</v>
      </c>
      <c r="D273" s="531" t="s">
        <v>1254</v>
      </c>
      <c r="E273" s="531" t="s">
        <v>1255</v>
      </c>
      <c r="F273" s="532"/>
    </row>
    <row r="274" ht="12.75" customHeight="1">
      <c r="A274" s="532" t="str">
        <f>IF('Register Configuration'!H27 = 3, "freq2 set", "#freq2 set")</f>
        <v>#freq2 set</v>
      </c>
      <c r="B274" s="531" t="s">
        <v>983</v>
      </c>
      <c r="C274" s="535">
        <v>32.0</v>
      </c>
      <c r="D274" s="531" t="s">
        <v>984</v>
      </c>
      <c r="E274" s="531" t="s">
        <v>1224</v>
      </c>
      <c r="F274" s="532"/>
    </row>
    <row r="275" ht="12.75" customHeight="1">
      <c r="A275" s="532" t="str">
        <f>IF('Register Configuration'!H27 = 3, "freq2 setbit", "#freq2 setbit")</f>
        <v>#freq2 setbit</v>
      </c>
      <c r="B275" s="531" t="s">
        <v>987</v>
      </c>
      <c r="C275" s="535">
        <v>32.0</v>
      </c>
      <c r="D275" s="531" t="s">
        <v>1226</v>
      </c>
      <c r="E275" s="531" t="s">
        <v>989</v>
      </c>
      <c r="F275" s="532"/>
    </row>
    <row r="276" ht="12.75" customHeight="1">
      <c r="A276" s="532" t="str">
        <f>IF('Register Configuration'!H27 = 3, "freq2 set", "#freq2 set")</f>
        <v>#freq2 set</v>
      </c>
      <c r="B276" s="531" t="s">
        <v>1247</v>
      </c>
      <c r="C276" s="535">
        <v>32.0</v>
      </c>
      <c r="D276" s="531" t="s">
        <v>1234</v>
      </c>
      <c r="E276" s="531" t="s">
        <v>1248</v>
      </c>
      <c r="F276" s="532"/>
    </row>
    <row r="277" ht="12.75" customHeight="1">
      <c r="A277" s="532"/>
      <c r="B277" s="531"/>
      <c r="C277" s="532"/>
      <c r="D277" s="531"/>
      <c r="E277" s="531"/>
      <c r="F277" s="532"/>
    </row>
    <row r="278" ht="12.75" customHeight="1">
      <c r="A278" s="532" t="s">
        <v>1256</v>
      </c>
      <c r="B278" s="531"/>
      <c r="C278" s="532"/>
      <c r="D278" s="531"/>
      <c r="E278" s="532"/>
    </row>
    <row r="279" ht="12.75" customHeight="1">
      <c r="A279" s="532" t="s">
        <v>1208</v>
      </c>
      <c r="B279" s="531" t="s">
        <v>1257</v>
      </c>
      <c r="C279" s="532"/>
      <c r="D279" s="531" t="s">
        <v>1258</v>
      </c>
      <c r="E279" s="532" t="s">
        <v>1259</v>
      </c>
    </row>
    <row r="280" ht="12.75" customHeight="1">
      <c r="A280" s="532"/>
      <c r="B280" s="531"/>
      <c r="C280" s="532"/>
      <c r="D280" s="531"/>
      <c r="E280" s="532" t="s">
        <v>1260</v>
      </c>
    </row>
    <row r="281" ht="12.75" customHeight="1">
      <c r="A281" s="532"/>
      <c r="B281" s="531"/>
      <c r="C281" s="532"/>
      <c r="D281" s="531"/>
      <c r="E281" s="532" t="s">
        <v>1261</v>
      </c>
    </row>
    <row r="282" ht="12.75" customHeight="1">
      <c r="A282" s="532"/>
      <c r="B282" s="531"/>
      <c r="C282" s="532"/>
      <c r="D282" s="531"/>
      <c r="E282" s="532" t="s">
        <v>1262</v>
      </c>
    </row>
    <row r="283" ht="12.75" customHeight="1">
      <c r="A283" s="532"/>
      <c r="B283" s="531"/>
      <c r="C283" s="532"/>
      <c r="D283" s="531"/>
      <c r="E283" s="532" t="s">
        <v>1263</v>
      </c>
    </row>
    <row r="284" ht="12.75" customHeight="1">
      <c r="A284" s="532"/>
      <c r="B284" s="531"/>
      <c r="C284" s="532"/>
      <c r="D284" s="531"/>
      <c r="E284" s="532" t="s">
        <v>1264</v>
      </c>
    </row>
    <row r="285" ht="12.75" customHeight="1">
      <c r="A285" s="532"/>
      <c r="B285" s="531"/>
      <c r="C285" s="532"/>
      <c r="D285" s="531"/>
      <c r="E285" s="532" t="s">
        <v>1265</v>
      </c>
    </row>
    <row r="286" ht="12.75" customHeight="1">
      <c r="A286" s="532"/>
      <c r="B286" s="531"/>
      <c r="C286" s="532"/>
      <c r="D286" s="531"/>
      <c r="E286" s="532" t="s">
        <v>1266</v>
      </c>
    </row>
    <row r="287" ht="12.75" customHeight="1">
      <c r="A287" s="532"/>
      <c r="B287" s="531"/>
      <c r="C287" s="532"/>
      <c r="D287" s="531"/>
      <c r="E287" s="532" t="s">
        <v>1267</v>
      </c>
    </row>
    <row r="288" ht="12.75" customHeight="1">
      <c r="A288" s="532"/>
      <c r="B288" s="531"/>
      <c r="C288" s="532"/>
      <c r="D288" s="531"/>
      <c r="E288" s="532" t="s">
        <v>1268</v>
      </c>
    </row>
    <row r="289" ht="12.75" customHeight="1">
      <c r="A289" s="532"/>
      <c r="B289" s="531"/>
      <c r="C289" s="532"/>
      <c r="D289" s="531"/>
      <c r="E289" s="532" t="s">
        <v>1269</v>
      </c>
    </row>
    <row r="290" ht="12.75" customHeight="1">
      <c r="A290" s="532"/>
      <c r="B290" s="531"/>
      <c r="C290" s="532"/>
      <c r="D290" s="531"/>
      <c r="E290" s="532" t="s">
        <v>1270</v>
      </c>
    </row>
    <row r="291" ht="12.75" customHeight="1">
      <c r="A291" s="532"/>
      <c r="B291" s="531"/>
      <c r="C291" s="532"/>
      <c r="D291" s="531"/>
      <c r="E291" s="532" t="s">
        <v>1271</v>
      </c>
    </row>
    <row r="292" ht="12.75" customHeight="1">
      <c r="A292" s="532" t="str">
        <f>IF('Register Configuration'!H27&gt;1, "", "#")&amp;"ddrparam set"</f>
        <v>#ddrparam set</v>
      </c>
      <c r="B292" s="531" t="s">
        <v>1272</v>
      </c>
      <c r="C292" s="532"/>
      <c r="D292" s="531" t="s">
        <v>1273</v>
      </c>
      <c r="E292" s="532"/>
    </row>
    <row r="293" ht="12.75" customHeight="1">
      <c r="A293" s="532" t="str">
        <f>IF('Register Configuration'!H27=3, "", "#")&amp;"ddrparam set"</f>
        <v>#ddrparam set</v>
      </c>
      <c r="B293" s="531" t="s">
        <v>1274</v>
      </c>
      <c r="C293" s="532"/>
      <c r="D293" s="531" t="s">
        <v>1273</v>
      </c>
      <c r="E293" s="532"/>
    </row>
    <row r="294" ht="12.75" customHeight="1">
      <c r="A294" s="532"/>
      <c r="B294" s="531"/>
      <c r="C294" s="532"/>
      <c r="D294" s="531"/>
      <c r="E294" s="532"/>
    </row>
    <row r="295" ht="12.75" customHeight="1">
      <c r="A295" s="532" t="s">
        <v>1275</v>
      </c>
      <c r="B295" s="531"/>
      <c r="C295" s="532"/>
      <c r="D295" s="531"/>
      <c r="E295" s="532"/>
    </row>
    <row r="296" ht="12.75" customHeight="1">
      <c r="A296" s="532" t="s">
        <v>1208</v>
      </c>
      <c r="B296" s="531" t="s">
        <v>1276</v>
      </c>
      <c r="C296" s="532"/>
      <c r="D296" s="536" t="s">
        <v>1277</v>
      </c>
      <c r="E296" s="532" t="s">
        <v>1278</v>
      </c>
    </row>
    <row r="297" ht="12.75" customHeight="1">
      <c r="A297" s="532"/>
      <c r="B297" s="531"/>
      <c r="C297" s="532"/>
      <c r="D297" s="531"/>
      <c r="E297" s="532" t="s">
        <v>1279</v>
      </c>
    </row>
    <row r="298" ht="12.75" customHeight="1">
      <c r="A298" s="532"/>
      <c r="B298" s="531"/>
      <c r="C298" s="532"/>
      <c r="D298" s="531"/>
      <c r="E298" s="532" t="s">
        <v>1280</v>
      </c>
    </row>
    <row r="299" ht="12.75" customHeight="1">
      <c r="A299" s="532"/>
      <c r="B299" s="531"/>
      <c r="C299" s="532"/>
      <c r="D299" s="531"/>
      <c r="E299" s="532" t="s">
        <v>1281</v>
      </c>
    </row>
    <row r="300" ht="12.75" customHeight="1">
      <c r="A300" s="532"/>
      <c r="B300" s="531"/>
      <c r="C300" s="532"/>
      <c r="D300" s="531"/>
      <c r="E300" s="532" t="s">
        <v>1282</v>
      </c>
    </row>
    <row r="301" ht="12.75" customHeight="1">
      <c r="A301" s="532"/>
      <c r="B301" s="531"/>
      <c r="C301" s="532"/>
      <c r="D301" s="531"/>
      <c r="E301" s="532" t="s">
        <v>1283</v>
      </c>
    </row>
    <row r="302" ht="12.75" customHeight="1">
      <c r="A302" s="532"/>
      <c r="B302" s="531"/>
      <c r="C302" s="532"/>
      <c r="D302" s="531"/>
      <c r="E302" s="532"/>
    </row>
    <row r="303" ht="12.75" customHeight="1">
      <c r="A303" s="532" t="s">
        <v>1208</v>
      </c>
      <c r="B303" s="531" t="s">
        <v>1284</v>
      </c>
      <c r="C303" s="532"/>
      <c r="D303" s="533" t="str">
        <f>'Register Configuration'!C628</f>
        <v>0xF4</v>
      </c>
      <c r="E303" s="532"/>
    </row>
    <row r="304" ht="12.75" customHeight="1">
      <c r="A304" s="532" t="s">
        <v>1208</v>
      </c>
      <c r="B304" s="531" t="s">
        <v>1285</v>
      </c>
      <c r="C304" s="532"/>
      <c r="D304" s="533" t="str">
        <f>'Register Configuration'!C629</f>
        <v>0x3F</v>
      </c>
      <c r="E304" s="532"/>
    </row>
    <row r="305" ht="12.75" customHeight="1">
      <c r="A305" s="532" t="s">
        <v>1208</v>
      </c>
      <c r="B305" s="531" t="s">
        <v>1286</v>
      </c>
      <c r="C305" s="532"/>
      <c r="D305" s="533" t="str">
        <f>'Register Configuration'!C630</f>
        <v>0x33</v>
      </c>
      <c r="E305" s="532"/>
    </row>
    <row r="306" ht="12.75" customHeight="1">
      <c r="A306" s="532" t="s">
        <v>1208</v>
      </c>
      <c r="B306" s="531" t="s">
        <v>1287</v>
      </c>
      <c r="C306" s="532"/>
      <c r="D306" s="533" t="str">
        <f>'Register Configuration'!C631</f>
        <v>0x00</v>
      </c>
      <c r="E306" s="532"/>
    </row>
    <row r="307" ht="12.75" customHeight="1">
      <c r="A307" s="532" t="s">
        <v>1208</v>
      </c>
      <c r="B307" s="531" t="s">
        <v>762</v>
      </c>
      <c r="C307" s="532"/>
      <c r="D307" s="533" t="str">
        <f>'Register Configuration'!C632</f>
        <v>0x66</v>
      </c>
      <c r="E307" s="532"/>
    </row>
    <row r="308" ht="12.75" customHeight="1">
      <c r="A308" s="532" t="s">
        <v>1208</v>
      </c>
      <c r="B308" s="531" t="s">
        <v>764</v>
      </c>
      <c r="C308" s="532"/>
      <c r="D308" s="533" t="str">
        <f>'Register Configuration'!C633</f>
        <v>0x48</v>
      </c>
      <c r="E308" s="532"/>
    </row>
    <row r="309" ht="12.75" customHeight="1">
      <c r="A309" s="532" t="s">
        <v>1208</v>
      </c>
      <c r="B309" s="531" t="s">
        <v>765</v>
      </c>
      <c r="C309" s="532"/>
      <c r="D309" s="533" t="str">
        <f>'Register Configuration'!C634</f>
        <v>0x00</v>
      </c>
      <c r="E309" s="532"/>
    </row>
    <row r="310" ht="12.75" customHeight="1">
      <c r="A310" s="532" t="s">
        <v>1208</v>
      </c>
      <c r="B310" s="531" t="s">
        <v>766</v>
      </c>
      <c r="C310" s="532"/>
      <c r="D310" s="533" t="str">
        <f>'Register Configuration'!C635</f>
        <v>0x48</v>
      </c>
      <c r="E310" s="532"/>
    </row>
    <row r="311" ht="12.75" customHeight="1">
      <c r="A311" s="532" t="s">
        <v>1208</v>
      </c>
      <c r="B311" s="531" t="s">
        <v>768</v>
      </c>
      <c r="C311" s="532"/>
      <c r="D311" s="533" t="str">
        <f>'Register Configuration'!C636</f>
        <v>0x00</v>
      </c>
      <c r="E311" s="532"/>
    </row>
    <row r="312" ht="12.75" customHeight="1">
      <c r="A312" s="532" t="s">
        <v>1208</v>
      </c>
      <c r="B312" s="531" t="s">
        <v>769</v>
      </c>
      <c r="C312" s="532"/>
      <c r="D312" s="533" t="str">
        <f>'Register Configuration'!C637</f>
        <v>0x00</v>
      </c>
      <c r="E312" s="532"/>
    </row>
    <row r="313" ht="12.75" customHeight="1">
      <c r="A313" s="532" t="s">
        <v>1208</v>
      </c>
      <c r="B313" s="531" t="s">
        <v>770</v>
      </c>
      <c r="C313" s="532"/>
      <c r="D313" s="533" t="str">
        <f>'Register Configuration'!C638</f>
        <v>0x16</v>
      </c>
      <c r="E313" s="532"/>
    </row>
    <row r="314" ht="12.75" customHeight="1">
      <c r="A314" s="532" t="s">
        <v>1208</v>
      </c>
      <c r="B314" s="531" t="s">
        <v>771</v>
      </c>
      <c r="C314" s="532"/>
      <c r="D314" s="533" t="str">
        <f>'Register Configuration'!C639</f>
        <v>0x00</v>
      </c>
      <c r="E314" s="532"/>
    </row>
    <row r="315" ht="12.75" customHeight="1">
      <c r="A315" s="532"/>
      <c r="B315" s="531"/>
      <c r="C315" s="532"/>
      <c r="D315" s="531"/>
      <c r="E315" s="532"/>
    </row>
    <row r="316" ht="12.75" customHeight="1">
      <c r="A316" s="532" t="str">
        <f>IF('Register Configuration'!H27&gt;1, "", "#")&amp;"ddrparam set"</f>
        <v>#ddrparam set</v>
      </c>
      <c r="B316" s="531" t="s">
        <v>772</v>
      </c>
      <c r="C316" s="532"/>
      <c r="D316" s="533" t="str">
        <f>'Register Configuration'!C641</f>
        <v>0x84</v>
      </c>
      <c r="E316" s="532"/>
    </row>
    <row r="317" ht="12.75" customHeight="1">
      <c r="A317" s="532" t="str">
        <f>IF('Register Configuration'!H27&gt;1, "", "#")&amp;"ddrparam set"</f>
        <v>#ddrparam set</v>
      </c>
      <c r="B317" s="531" t="s">
        <v>774</v>
      </c>
      <c r="C317" s="532"/>
      <c r="D317" s="533" t="str">
        <f>'Register Configuration'!C642</f>
        <v>0x00</v>
      </c>
      <c r="E317" s="532"/>
    </row>
    <row r="318" ht="12.75" customHeight="1">
      <c r="A318" s="532" t="str">
        <f>IF('Register Configuration'!H27&gt;1, "", "#")&amp;"ddrparam set"</f>
        <v>#ddrparam set</v>
      </c>
      <c r="B318" s="531" t="s">
        <v>776</v>
      </c>
      <c r="C318" s="532"/>
      <c r="D318" s="533" t="str">
        <f>'Register Configuration'!C643</f>
        <v>0x33</v>
      </c>
      <c r="E318" s="532"/>
    </row>
    <row r="319" ht="12.75" customHeight="1">
      <c r="A319" s="532" t="str">
        <f>IF('Register Configuration'!H27&gt;1, "", "#")&amp;"ddrparam set"</f>
        <v>#ddrparam set</v>
      </c>
      <c r="B319" s="531" t="s">
        <v>777</v>
      </c>
      <c r="C319" s="532"/>
      <c r="D319" s="533" t="str">
        <f>'Register Configuration'!C644</f>
        <v>0x00</v>
      </c>
      <c r="E319" s="532"/>
    </row>
    <row r="320" ht="12.75" customHeight="1">
      <c r="A320" s="532" t="str">
        <f>IF('Register Configuration'!H27&gt;1, "", "#")&amp;"ddrparam set"</f>
        <v>#ddrparam set</v>
      </c>
      <c r="B320" s="531" t="s">
        <v>778</v>
      </c>
      <c r="C320" s="532"/>
      <c r="D320" s="533" t="str">
        <f>'Register Configuration'!C645</f>
        <v>0x66</v>
      </c>
      <c r="E320" s="532"/>
    </row>
    <row r="321" ht="12.75" customHeight="1">
      <c r="A321" s="532" t="str">
        <f>IF('Register Configuration'!H27&gt;1, "", "#")&amp;"ddrparam set"</f>
        <v>#ddrparam set</v>
      </c>
      <c r="B321" s="531" t="s">
        <v>779</v>
      </c>
      <c r="C321" s="532"/>
      <c r="D321" s="533" t="str">
        <f>'Register Configuration'!C646</f>
        <v>0x48</v>
      </c>
      <c r="E321" s="532"/>
    </row>
    <row r="322" ht="12.75" customHeight="1">
      <c r="A322" s="532" t="str">
        <f>IF('Register Configuration'!H27&gt;1, "", "#")&amp;"ddrparam set"</f>
        <v>#ddrparam set</v>
      </c>
      <c r="B322" s="531" t="s">
        <v>780</v>
      </c>
      <c r="C322" s="532"/>
      <c r="D322" s="533" t="str">
        <f>'Register Configuration'!C647</f>
        <v>0x00</v>
      </c>
      <c r="E322" s="532"/>
    </row>
    <row r="323" ht="12.75" customHeight="1">
      <c r="A323" s="532" t="str">
        <f>IF('Register Configuration'!H27&gt;1, "", "#")&amp;"ddrparam set"</f>
        <v>#ddrparam set</v>
      </c>
      <c r="B323" s="531" t="s">
        <v>781</v>
      </c>
      <c r="C323" s="532"/>
      <c r="D323" s="533" t="str">
        <f>'Register Configuration'!C648</f>
        <v>0x48</v>
      </c>
      <c r="E323" s="532"/>
    </row>
    <row r="324" ht="12.75" customHeight="1">
      <c r="A324" s="532" t="str">
        <f>IF('Register Configuration'!H27&gt;1, "", "#")&amp;"ddrparam set"</f>
        <v>#ddrparam set</v>
      </c>
      <c r="B324" s="531" t="s">
        <v>782</v>
      </c>
      <c r="C324" s="532"/>
      <c r="D324" s="533" t="str">
        <f>'Register Configuration'!C649</f>
        <v>0x00</v>
      </c>
      <c r="E324" s="532"/>
    </row>
    <row r="325" ht="12.75" customHeight="1">
      <c r="A325" s="532" t="str">
        <f>IF('Register Configuration'!H27&gt;1, "", "#")&amp;"ddrparam set"</f>
        <v>#ddrparam set</v>
      </c>
      <c r="B325" s="531" t="s">
        <v>783</v>
      </c>
      <c r="C325" s="532"/>
      <c r="D325" s="533" t="str">
        <f>'Register Configuration'!C650</f>
        <v>0x00</v>
      </c>
      <c r="E325" s="532"/>
    </row>
    <row r="326" ht="12.75" customHeight="1">
      <c r="A326" s="532" t="str">
        <f>IF('Register Configuration'!H27&gt;1, "", "#")&amp;"ddrparam set"</f>
        <v>#ddrparam set</v>
      </c>
      <c r="B326" s="531" t="s">
        <v>784</v>
      </c>
      <c r="C326" s="532"/>
      <c r="D326" s="533" t="str">
        <f>'Register Configuration'!C651</f>
        <v>0x16</v>
      </c>
      <c r="E326" s="532"/>
    </row>
    <row r="327" ht="12.75" customHeight="1">
      <c r="A327" s="532" t="str">
        <f>IF('Register Configuration'!H27&gt;1, "", "#")&amp;"ddrparam set"</f>
        <v>#ddrparam set</v>
      </c>
      <c r="B327" s="531" t="s">
        <v>785</v>
      </c>
      <c r="C327" s="532"/>
      <c r="D327" s="533" t="str">
        <f>'Register Configuration'!C652</f>
        <v>0x00</v>
      </c>
      <c r="E327" s="532"/>
    </row>
    <row r="328" ht="12.75" customHeight="1">
      <c r="A328" s="532"/>
      <c r="B328" s="531"/>
      <c r="C328" s="532"/>
      <c r="D328" s="531"/>
      <c r="E328" s="532"/>
    </row>
    <row r="329" ht="12.75" customHeight="1">
      <c r="A329" s="532" t="str">
        <f>IF('Register Configuration'!H27=3, "", "#")&amp;"ddrparam set"</f>
        <v>#ddrparam set</v>
      </c>
      <c r="B329" s="531" t="s">
        <v>786</v>
      </c>
      <c r="C329" s="532"/>
      <c r="D329" s="533" t="str">
        <f>'Register Configuration'!C654</f>
        <v>0x84</v>
      </c>
      <c r="E329" s="532"/>
    </row>
    <row r="330" ht="12.75" customHeight="1">
      <c r="A330" s="532" t="str">
        <f>IF('Register Configuration'!H27=3, "", "#")&amp;"ddrparam set"</f>
        <v>#ddrparam set</v>
      </c>
      <c r="B330" s="531" t="s">
        <v>788</v>
      </c>
      <c r="C330" s="532"/>
      <c r="D330" s="533" t="str">
        <f>'Register Configuration'!C655</f>
        <v>0x00</v>
      </c>
      <c r="E330" s="532"/>
    </row>
    <row r="331" ht="12.75" customHeight="1">
      <c r="A331" s="532" t="str">
        <f>IF('Register Configuration'!H27=3, "", "#")&amp;"ddrparam set"</f>
        <v>#ddrparam set</v>
      </c>
      <c r="B331" s="531" t="s">
        <v>789</v>
      </c>
      <c r="C331" s="532"/>
      <c r="D331" s="533" t="str">
        <f>'Register Configuration'!C656</f>
        <v>0x33</v>
      </c>
      <c r="E331" s="532"/>
    </row>
    <row r="332" ht="12.75" customHeight="1">
      <c r="A332" s="532" t="str">
        <f>IF('Register Configuration'!H27=3, "", "#")&amp;"ddrparam set"</f>
        <v>#ddrparam set</v>
      </c>
      <c r="B332" s="531" t="s">
        <v>790</v>
      </c>
      <c r="C332" s="532"/>
      <c r="D332" s="533" t="str">
        <f>'Register Configuration'!C657</f>
        <v>0x00</v>
      </c>
      <c r="E332" s="532"/>
    </row>
    <row r="333" ht="12.75" customHeight="1">
      <c r="A333" s="532" t="str">
        <f>IF('Register Configuration'!H27=3, "", "#")&amp;"ddrparam set"</f>
        <v>#ddrparam set</v>
      </c>
      <c r="B333" s="531" t="s">
        <v>791</v>
      </c>
      <c r="C333" s="532"/>
      <c r="D333" s="533" t="str">
        <f>'Register Configuration'!C658</f>
        <v>0x66</v>
      </c>
      <c r="E333" s="532"/>
    </row>
    <row r="334" ht="12.75" customHeight="1">
      <c r="A334" s="532" t="str">
        <f>IF('Register Configuration'!H27=3, "", "#")&amp;"ddrparam set"</f>
        <v>#ddrparam set</v>
      </c>
      <c r="B334" s="531" t="s">
        <v>792</v>
      </c>
      <c r="C334" s="532"/>
      <c r="D334" s="533" t="str">
        <f>'Register Configuration'!C659</f>
        <v>0x48</v>
      </c>
      <c r="E334" s="532"/>
    </row>
    <row r="335" ht="12.75" customHeight="1">
      <c r="A335" s="532" t="str">
        <f>IF('Register Configuration'!H27=3, "", "#")&amp;"ddrparam set"</f>
        <v>#ddrparam set</v>
      </c>
      <c r="B335" s="531" t="s">
        <v>793</v>
      </c>
      <c r="C335" s="532"/>
      <c r="D335" s="533" t="str">
        <f>'Register Configuration'!C660</f>
        <v>0x00</v>
      </c>
      <c r="E335" s="532"/>
    </row>
    <row r="336" ht="12.75" customHeight="1">
      <c r="A336" s="532" t="str">
        <f>IF('Register Configuration'!H27=3, "", "#")&amp;"ddrparam set"</f>
        <v>#ddrparam set</v>
      </c>
      <c r="B336" s="531" t="s">
        <v>794</v>
      </c>
      <c r="C336" s="532"/>
      <c r="D336" s="533" t="str">
        <f>'Register Configuration'!C661</f>
        <v>0x48</v>
      </c>
      <c r="E336" s="532"/>
    </row>
    <row r="337" ht="12.75" customHeight="1">
      <c r="A337" s="532" t="str">
        <f>IF('Register Configuration'!H27=3, "", "#")&amp;"ddrparam set"</f>
        <v>#ddrparam set</v>
      </c>
      <c r="B337" s="531" t="s">
        <v>795</v>
      </c>
      <c r="C337" s="532"/>
      <c r="D337" s="533" t="str">
        <f>'Register Configuration'!C662</f>
        <v>0x00</v>
      </c>
      <c r="E337" s="532"/>
    </row>
    <row r="338" ht="12.75" customHeight="1">
      <c r="A338" s="532" t="str">
        <f>IF('Register Configuration'!H27=3, "", "#")&amp;"ddrparam set"</f>
        <v>#ddrparam set</v>
      </c>
      <c r="B338" s="531" t="s">
        <v>796</v>
      </c>
      <c r="C338" s="532"/>
      <c r="D338" s="533" t="str">
        <f>'Register Configuration'!C663</f>
        <v>0x00</v>
      </c>
      <c r="E338" s="532"/>
    </row>
    <row r="339" ht="12.75" customHeight="1">
      <c r="A339" s="532" t="str">
        <f>IF('Register Configuration'!H27=3, "", "#")&amp;"ddrparam set"</f>
        <v>#ddrparam set</v>
      </c>
      <c r="B339" s="531" t="s">
        <v>797</v>
      </c>
      <c r="C339" s="532"/>
      <c r="D339" s="533" t="str">
        <f>'Register Configuration'!C664</f>
        <v>0x16</v>
      </c>
      <c r="E339" s="532"/>
    </row>
    <row r="340" ht="12.75" customHeight="1">
      <c r="A340" s="532" t="str">
        <f>IF('Register Configuration'!H27=3, "", "#")&amp;"ddrparam set"</f>
        <v>#ddrparam set</v>
      </c>
      <c r="B340" s="531" t="s">
        <v>798</v>
      </c>
      <c r="C340" s="532"/>
      <c r="D340" s="533" t="str">
        <f>'Register Configuration'!C665</f>
        <v>0x00</v>
      </c>
      <c r="E340" s="532"/>
    </row>
    <row r="341" ht="12.75" customHeight="1">
      <c r="A341" s="532"/>
      <c r="B341" s="531"/>
      <c r="C341" s="532"/>
      <c r="D341" s="531"/>
      <c r="E341" s="532"/>
    </row>
    <row r="342" ht="12.75" customHeight="1">
      <c r="A342" s="532" t="s">
        <v>1208</v>
      </c>
      <c r="B342" s="531" t="s">
        <v>799</v>
      </c>
      <c r="C342" s="532"/>
      <c r="D342" s="533">
        <f>'Register Configuration'!C667</f>
        <v>24</v>
      </c>
      <c r="E342" s="532"/>
    </row>
    <row r="343" ht="12.75" customHeight="1">
      <c r="A343" s="532" t="s">
        <v>1208</v>
      </c>
      <c r="B343" s="531" t="s">
        <v>801</v>
      </c>
      <c r="C343" s="532"/>
      <c r="D343" s="533">
        <f>'Register Configuration'!C668</f>
        <v>40</v>
      </c>
      <c r="E343" s="532"/>
    </row>
    <row r="344" ht="12.75" customHeight="1">
      <c r="A344" s="532" t="s">
        <v>1208</v>
      </c>
      <c r="B344" s="531" t="s">
        <v>803</v>
      </c>
      <c r="C344" s="532"/>
      <c r="D344" s="533">
        <f>'Register Configuration'!C669</f>
        <v>34</v>
      </c>
      <c r="E344" s="532"/>
    </row>
    <row r="345" ht="12.75" customHeight="1">
      <c r="A345" s="532"/>
      <c r="B345" s="531"/>
      <c r="C345" s="532"/>
      <c r="D345" s="531"/>
      <c r="E345" s="532"/>
    </row>
    <row r="346" ht="12.75" customHeight="1">
      <c r="A346" s="532" t="s">
        <v>1208</v>
      </c>
      <c r="B346" s="531" t="s">
        <v>1288</v>
      </c>
      <c r="C346" s="532"/>
      <c r="D346" s="533" t="str">
        <f>'Register Configuration'!C671</f>
        <v>0x00</v>
      </c>
      <c r="E346" s="532"/>
    </row>
    <row r="347" ht="12.75" customHeight="1">
      <c r="A347" s="532" t="s">
        <v>1208</v>
      </c>
      <c r="B347" s="531" t="s">
        <v>1289</v>
      </c>
      <c r="C347" s="532"/>
      <c r="D347" s="533" t="str">
        <f>'Register Configuration'!C672</f>
        <v>0x00</v>
      </c>
      <c r="E347" s="532"/>
    </row>
    <row r="348" ht="12.75" customHeight="1">
      <c r="A348" s="532" t="s">
        <v>1208</v>
      </c>
      <c r="B348" s="531" t="s">
        <v>1290</v>
      </c>
      <c r="C348" s="532"/>
      <c r="D348" s="533" t="str">
        <f>'Register Configuration'!C673</f>
        <v>0x00</v>
      </c>
      <c r="E348" s="532"/>
    </row>
    <row r="349" ht="12.75" customHeight="1">
      <c r="A349" s="532" t="s">
        <v>1208</v>
      </c>
      <c r="B349" s="531" t="s">
        <v>811</v>
      </c>
      <c r="C349" s="532"/>
      <c r="D349" s="533" t="str">
        <f>'Register Configuration'!C674</f>
        <v>0x01</v>
      </c>
      <c r="E349" s="532"/>
    </row>
    <row r="350" ht="12.75" customHeight="1">
      <c r="A350" s="532"/>
      <c r="B350" s="531"/>
      <c r="C350" s="532"/>
      <c r="D350" s="531"/>
      <c r="E350" s="532"/>
    </row>
    <row r="351" ht="12.75" customHeight="1">
      <c r="A351" s="532" t="s">
        <v>1208</v>
      </c>
      <c r="B351" s="531" t="s">
        <v>814</v>
      </c>
      <c r="C351" s="532"/>
      <c r="D351" s="533" t="str">
        <f>'Register Configuration'!C676</f>
        <v>0x0f</v>
      </c>
      <c r="E351" s="532"/>
    </row>
    <row r="352" ht="12.75" customHeight="1">
      <c r="A352" s="532" t="s">
        <v>1208</v>
      </c>
      <c r="B352" s="531" t="s">
        <v>817</v>
      </c>
      <c r="C352" s="532"/>
      <c r="D352" s="533" t="str">
        <f>'Register Configuration'!C677</f>
        <v>0x0f</v>
      </c>
      <c r="E352" s="532"/>
    </row>
    <row r="353" ht="12.75" customHeight="1">
      <c r="A353" s="532" t="s">
        <v>1208</v>
      </c>
      <c r="B353" s="531" t="s">
        <v>819</v>
      </c>
      <c r="C353" s="532"/>
      <c r="D353" s="533" t="str">
        <f>'Register Configuration'!C678</f>
        <v>0x0f</v>
      </c>
      <c r="E353" s="532"/>
    </row>
    <row r="354" ht="12.75" customHeight="1">
      <c r="A354" s="532" t="s">
        <v>1208</v>
      </c>
      <c r="B354" s="531" t="s">
        <v>821</v>
      </c>
      <c r="C354" s="532"/>
      <c r="D354" s="533" t="str">
        <f>'Register Configuration'!C679</f>
        <v>0x0f</v>
      </c>
      <c r="E354" s="532"/>
    </row>
    <row r="355" ht="12.75" customHeight="1">
      <c r="A355" s="532"/>
      <c r="B355" s="531"/>
      <c r="C355" s="532"/>
      <c r="D355" s="531"/>
      <c r="E355" s="532"/>
    </row>
    <row r="356" ht="12.75" customHeight="1">
      <c r="A356" s="532" t="s">
        <v>1208</v>
      </c>
      <c r="B356" s="531" t="s">
        <v>823</v>
      </c>
      <c r="C356" s="532"/>
      <c r="D356" s="533" t="str">
        <f>'Register Configuration'!C681</f>
        <v>0x09</v>
      </c>
      <c r="E356" s="532"/>
    </row>
    <row r="357" ht="12.75" customHeight="1">
      <c r="A357" s="532" t="s">
        <v>1208</v>
      </c>
      <c r="B357" s="531" t="s">
        <v>1291</v>
      </c>
      <c r="C357" s="532"/>
      <c r="D357" s="533" t="str">
        <f>'Register Configuration'!C682</f>
        <v>0x00</v>
      </c>
      <c r="E357" s="532"/>
    </row>
    <row r="358" ht="12.75" customHeight="1">
      <c r="A358" s="532"/>
      <c r="B358" s="531"/>
      <c r="C358" s="532"/>
      <c r="D358" s="531"/>
      <c r="E358" s="532"/>
    </row>
    <row r="359" ht="12.75" customHeight="1">
      <c r="A359" s="532" t="s">
        <v>1208</v>
      </c>
      <c r="B359" s="531" t="s">
        <v>1292</v>
      </c>
      <c r="C359" s="532"/>
      <c r="D359" s="531" t="s">
        <v>760</v>
      </c>
      <c r="E359" s="532"/>
    </row>
    <row r="360" ht="12.75" customHeight="1">
      <c r="A360" s="532" t="s">
        <v>1208</v>
      </c>
      <c r="B360" s="531" t="s">
        <v>1293</v>
      </c>
      <c r="C360" s="532"/>
      <c r="D360" s="531" t="s">
        <v>760</v>
      </c>
      <c r="E360" s="532"/>
    </row>
    <row r="361" ht="12.75" customHeight="1">
      <c r="A361" s="532" t="s">
        <v>1208</v>
      </c>
      <c r="B361" s="531" t="s">
        <v>1294</v>
      </c>
      <c r="C361" s="532"/>
      <c r="D361" s="531" t="s">
        <v>812</v>
      </c>
      <c r="E361" s="532"/>
    </row>
    <row r="362" ht="12.75" customHeight="1">
      <c r="A362" s="532" t="s">
        <v>1208</v>
      </c>
      <c r="B362" s="531" t="s">
        <v>1295</v>
      </c>
      <c r="C362" s="532"/>
      <c r="D362" s="531" t="s">
        <v>1296</v>
      </c>
      <c r="E362" s="532"/>
    </row>
    <row r="363" ht="12.75" customHeight="1">
      <c r="A363" s="532" t="s">
        <v>1208</v>
      </c>
      <c r="B363" s="531" t="s">
        <v>1297</v>
      </c>
      <c r="C363" s="532"/>
      <c r="D363" s="531" t="s">
        <v>1298</v>
      </c>
      <c r="E363" s="532"/>
    </row>
    <row r="364" ht="12.75" customHeight="1">
      <c r="A364" s="532"/>
      <c r="B364" s="531"/>
      <c r="C364" s="532"/>
      <c r="D364" s="531"/>
      <c r="E364" s="532"/>
    </row>
    <row r="365" ht="12.75" customHeight="1">
      <c r="A365" s="532"/>
      <c r="B365" s="531"/>
      <c r="C365" s="532"/>
      <c r="D365" s="531"/>
      <c r="E365" s="532"/>
    </row>
    <row r="366" ht="12.75" customHeight="1">
      <c r="A366" s="532"/>
      <c r="B366" s="531"/>
      <c r="C366" s="532"/>
      <c r="D366" s="531"/>
      <c r="E366" s="532"/>
    </row>
    <row r="367" ht="12.75" customHeight="1">
      <c r="A367" s="532"/>
      <c r="B367" s="531"/>
      <c r="C367" s="532"/>
      <c r="D367" s="531"/>
      <c r="E367" s="532"/>
    </row>
    <row r="368" ht="12.75" customHeight="1">
      <c r="A368" s="532"/>
      <c r="B368" s="531"/>
      <c r="C368" s="532"/>
      <c r="D368" s="531"/>
      <c r="E368" s="532"/>
    </row>
    <row r="369" ht="12.75" customHeight="1">
      <c r="A369" s="532"/>
      <c r="B369" s="531"/>
      <c r="C369" s="532"/>
      <c r="D369" s="531"/>
      <c r="E369" s="532"/>
    </row>
    <row r="370" ht="12.75" customHeight="1">
      <c r="A370" s="532"/>
      <c r="B370" s="531"/>
      <c r="C370" s="532"/>
      <c r="D370" s="531"/>
      <c r="E370" s="532"/>
    </row>
    <row r="371" ht="12.75" customHeight="1">
      <c r="A371" s="532"/>
      <c r="B371" s="531"/>
      <c r="C371" s="532"/>
      <c r="D371" s="531"/>
      <c r="E371" s="532"/>
    </row>
    <row r="372" ht="12.75" customHeight="1">
      <c r="A372" s="532"/>
      <c r="B372" s="531"/>
      <c r="C372" s="532"/>
      <c r="D372" s="531"/>
      <c r="E372" s="532"/>
    </row>
    <row r="373" ht="12.75" customHeight="1">
      <c r="A373" s="532"/>
      <c r="B373" s="531"/>
      <c r="C373" s="532"/>
      <c r="D373" s="531"/>
      <c r="E373" s="532"/>
    </row>
    <row r="374" ht="12.75" customHeight="1">
      <c r="A374" s="532"/>
      <c r="B374" s="531"/>
      <c r="C374" s="532"/>
      <c r="D374" s="531"/>
      <c r="E374" s="532"/>
    </row>
    <row r="375" ht="12.75" customHeight="1">
      <c r="A375" s="532"/>
      <c r="B375" s="531"/>
      <c r="C375" s="532"/>
      <c r="D375" s="531"/>
      <c r="E375" s="532"/>
    </row>
    <row r="376" ht="12.75" customHeight="1">
      <c r="A376" s="532"/>
      <c r="B376" s="531"/>
      <c r="C376" s="532"/>
      <c r="D376" s="531"/>
      <c r="E376" s="532"/>
    </row>
    <row r="377" ht="12.75" customHeight="1">
      <c r="A377" s="532"/>
      <c r="B377" s="531"/>
      <c r="C377" s="532"/>
      <c r="D377" s="531"/>
      <c r="E377" s="532"/>
    </row>
    <row r="378" ht="12.75" customHeight="1">
      <c r="A378" s="532"/>
      <c r="B378" s="531"/>
      <c r="C378" s="532"/>
      <c r="D378" s="531"/>
      <c r="E378" s="532"/>
    </row>
    <row r="379" ht="12.75" customHeight="1">
      <c r="A379" s="532"/>
      <c r="B379" s="531"/>
      <c r="C379" s="532"/>
      <c r="D379" s="531"/>
      <c r="E379" s="532"/>
    </row>
    <row r="380" ht="12.75" customHeight="1">
      <c r="A380" s="532"/>
      <c r="B380" s="531"/>
      <c r="C380" s="532"/>
      <c r="D380" s="531"/>
      <c r="E380" s="532"/>
    </row>
    <row r="381" ht="12.75" customHeight="1">
      <c r="A381" s="532"/>
      <c r="B381" s="531"/>
      <c r="C381" s="532"/>
      <c r="D381" s="531"/>
      <c r="E381" s="532"/>
    </row>
    <row r="382" ht="12.75" customHeight="1">
      <c r="A382" s="532"/>
      <c r="B382" s="531"/>
      <c r="C382" s="532"/>
      <c r="D382" s="531"/>
      <c r="E382" s="532"/>
    </row>
    <row r="383" ht="12.75" customHeight="1">
      <c r="A383" s="532"/>
      <c r="B383" s="531"/>
      <c r="C383" s="532"/>
      <c r="D383" s="531"/>
      <c r="E383" s="532"/>
    </row>
    <row r="384" ht="12.75" customHeight="1">
      <c r="A384" s="532"/>
      <c r="B384" s="531"/>
      <c r="C384" s="532"/>
      <c r="D384" s="531"/>
      <c r="E384" s="532"/>
    </row>
    <row r="385" ht="12.75" customHeight="1">
      <c r="A385" s="532"/>
      <c r="B385" s="531"/>
      <c r="C385" s="532"/>
      <c r="D385" s="531"/>
      <c r="E385" s="532"/>
    </row>
    <row r="386" ht="12.75" customHeight="1">
      <c r="A386" s="532"/>
      <c r="B386" s="531"/>
      <c r="C386" s="532"/>
      <c r="D386" s="531"/>
      <c r="E386" s="532"/>
    </row>
    <row r="387" ht="12.75" customHeight="1">
      <c r="A387" s="532"/>
      <c r="B387" s="531"/>
      <c r="C387" s="532"/>
      <c r="D387" s="531"/>
      <c r="E387" s="532"/>
    </row>
    <row r="388" ht="12.75" customHeight="1">
      <c r="A388" s="532"/>
      <c r="B388" s="531"/>
      <c r="C388" s="532"/>
      <c r="D388" s="531"/>
      <c r="E388" s="532"/>
    </row>
    <row r="389" ht="12.75" customHeight="1">
      <c r="A389" s="532"/>
      <c r="B389" s="531"/>
      <c r="C389" s="532"/>
      <c r="D389" s="531"/>
      <c r="E389" s="532"/>
    </row>
    <row r="390" ht="12.75" customHeight="1">
      <c r="A390" s="532"/>
      <c r="B390" s="531"/>
      <c r="C390" s="532"/>
      <c r="D390" s="531"/>
      <c r="E390" s="532"/>
    </row>
    <row r="391" ht="12.75" customHeight="1">
      <c r="A391" s="532"/>
      <c r="B391" s="531"/>
      <c r="C391" s="532"/>
      <c r="D391" s="531"/>
      <c r="E391" s="532"/>
    </row>
    <row r="392" ht="12.75" customHeight="1">
      <c r="A392" s="532"/>
      <c r="B392" s="531"/>
      <c r="C392" s="532"/>
      <c r="D392" s="531"/>
      <c r="E392" s="532"/>
    </row>
    <row r="393" ht="12.75" customHeight="1">
      <c r="A393" s="532"/>
      <c r="B393" s="531"/>
      <c r="C393" s="532"/>
      <c r="D393" s="531"/>
      <c r="E393" s="532"/>
    </row>
    <row r="394" ht="12.75" customHeight="1">
      <c r="A394" s="532"/>
      <c r="B394" s="531"/>
      <c r="C394" s="532"/>
      <c r="D394" s="531"/>
      <c r="E394" s="532"/>
    </row>
    <row r="395" ht="12.75" customHeight="1">
      <c r="A395" s="532"/>
      <c r="B395" s="531"/>
      <c r="C395" s="532"/>
      <c r="D395" s="531"/>
      <c r="E395" s="532"/>
    </row>
    <row r="396" ht="12.75" customHeight="1">
      <c r="A396" s="532"/>
      <c r="B396" s="531"/>
      <c r="C396" s="532"/>
      <c r="D396" s="531"/>
      <c r="E396" s="532"/>
    </row>
    <row r="397" ht="12.75" customHeight="1">
      <c r="A397" s="532"/>
      <c r="B397" s="531"/>
      <c r="C397" s="532"/>
      <c r="D397" s="531"/>
      <c r="E397" s="532"/>
    </row>
    <row r="398" ht="12.75" customHeight="1">
      <c r="A398" s="532"/>
      <c r="B398" s="531"/>
      <c r="C398" s="532"/>
      <c r="D398" s="531"/>
      <c r="E398" s="532"/>
    </row>
    <row r="399" ht="12.75" customHeight="1">
      <c r="A399" s="532"/>
      <c r="B399" s="531"/>
      <c r="C399" s="532"/>
      <c r="D399" s="531"/>
      <c r="E399" s="532"/>
    </row>
    <row r="400" ht="12.75" customHeight="1">
      <c r="A400" s="532"/>
      <c r="B400" s="531"/>
      <c r="C400" s="532"/>
      <c r="D400" s="531"/>
      <c r="E400" s="532"/>
    </row>
    <row r="401" ht="12.75" customHeight="1">
      <c r="A401" s="532"/>
      <c r="B401" s="531"/>
      <c r="C401" s="532"/>
      <c r="D401" s="531"/>
      <c r="E401" s="532"/>
    </row>
    <row r="402" ht="12.75" customHeight="1">
      <c r="A402" s="532"/>
      <c r="B402" s="531"/>
      <c r="C402" s="532"/>
      <c r="D402" s="531"/>
      <c r="E402" s="532"/>
    </row>
    <row r="403" ht="12.75" customHeight="1">
      <c r="A403" s="532"/>
      <c r="B403" s="531"/>
      <c r="C403" s="532"/>
      <c r="D403" s="531"/>
      <c r="E403" s="532"/>
    </row>
    <row r="404" ht="12.75" customHeight="1">
      <c r="A404" s="532"/>
      <c r="B404" s="531"/>
      <c r="C404" s="532"/>
      <c r="D404" s="531"/>
      <c r="E404" s="532"/>
    </row>
    <row r="405" ht="12.75" customHeight="1">
      <c r="A405" s="532"/>
      <c r="B405" s="531"/>
      <c r="C405" s="532"/>
      <c r="D405" s="531"/>
      <c r="E405" s="532"/>
    </row>
    <row r="406" ht="12.75" customHeight="1">
      <c r="A406" s="532"/>
      <c r="B406" s="531"/>
      <c r="C406" s="532"/>
      <c r="D406" s="531"/>
      <c r="E406" s="532"/>
    </row>
    <row r="407" ht="12.75" customHeight="1">
      <c r="A407" s="532"/>
      <c r="B407" s="531"/>
      <c r="C407" s="532"/>
      <c r="D407" s="531"/>
      <c r="E407" s="532"/>
    </row>
    <row r="408" ht="12.75" customHeight="1">
      <c r="A408" s="532"/>
      <c r="B408" s="531"/>
      <c r="C408" s="532"/>
      <c r="D408" s="531"/>
      <c r="E408" s="532"/>
    </row>
    <row r="409" ht="12.75" customHeight="1">
      <c r="A409" s="532"/>
      <c r="B409" s="531"/>
      <c r="C409" s="532"/>
      <c r="D409" s="531"/>
      <c r="E409" s="532"/>
    </row>
    <row r="410" ht="12.75" customHeight="1">
      <c r="A410" s="532"/>
      <c r="B410" s="531"/>
      <c r="C410" s="532"/>
      <c r="D410" s="531"/>
      <c r="E410" s="532"/>
    </row>
    <row r="411" ht="12.75" customHeight="1">
      <c r="A411" s="532"/>
      <c r="B411" s="531"/>
      <c r="C411" s="532"/>
      <c r="D411" s="531"/>
      <c r="E411" s="532"/>
    </row>
    <row r="412" ht="12.75" customHeight="1">
      <c r="A412" s="532"/>
      <c r="B412" s="531"/>
      <c r="C412" s="532"/>
      <c r="D412" s="531"/>
      <c r="E412" s="532"/>
    </row>
    <row r="413" ht="12.75" customHeight="1">
      <c r="A413" s="532"/>
      <c r="B413" s="531"/>
      <c r="C413" s="532"/>
      <c r="D413" s="531"/>
      <c r="E413" s="532"/>
    </row>
    <row r="414" ht="12.75" customHeight="1">
      <c r="A414" s="532"/>
      <c r="B414" s="531"/>
      <c r="C414" s="532"/>
      <c r="D414" s="531"/>
      <c r="E414" s="532"/>
    </row>
    <row r="415" ht="12.75" customHeight="1">
      <c r="A415" s="532"/>
      <c r="B415" s="531"/>
      <c r="C415" s="532"/>
      <c r="D415" s="531"/>
      <c r="E415" s="532"/>
    </row>
    <row r="416" ht="12.75" customHeight="1">
      <c r="A416" s="532"/>
      <c r="B416" s="531"/>
      <c r="C416" s="532"/>
      <c r="D416" s="531"/>
      <c r="E416" s="532"/>
    </row>
    <row r="417" ht="12.75" customHeight="1">
      <c r="A417" s="532"/>
      <c r="B417" s="531"/>
      <c r="C417" s="532"/>
      <c r="D417" s="531"/>
      <c r="E417" s="532"/>
    </row>
    <row r="418" ht="12.75" customHeight="1">
      <c r="A418" s="532"/>
      <c r="B418" s="531"/>
      <c r="C418" s="532"/>
      <c r="D418" s="531"/>
      <c r="E418" s="532"/>
    </row>
    <row r="419" ht="12.75" customHeight="1">
      <c r="A419" s="532"/>
      <c r="B419" s="531"/>
      <c r="C419" s="532"/>
      <c r="D419" s="531"/>
      <c r="E419" s="532"/>
    </row>
    <row r="420" ht="12.75" customHeight="1">
      <c r="A420" s="532"/>
      <c r="B420" s="531"/>
      <c r="C420" s="532"/>
      <c r="D420" s="531"/>
      <c r="E420" s="532"/>
    </row>
    <row r="421" ht="12.75" customHeight="1">
      <c r="A421" s="532"/>
      <c r="B421" s="531"/>
      <c r="C421" s="532"/>
      <c r="D421" s="531"/>
      <c r="E421" s="532"/>
    </row>
    <row r="422" ht="12.75" customHeight="1">
      <c r="A422" s="532"/>
      <c r="B422" s="531"/>
      <c r="C422" s="532"/>
      <c r="D422" s="531"/>
      <c r="E422" s="532"/>
    </row>
    <row r="423" ht="12.75" customHeight="1">
      <c r="A423" s="532"/>
      <c r="B423" s="531"/>
      <c r="C423" s="532"/>
      <c r="D423" s="531"/>
      <c r="E423" s="532"/>
    </row>
    <row r="424" ht="12.75" customHeight="1">
      <c r="A424" s="532"/>
      <c r="B424" s="531"/>
      <c r="C424" s="532"/>
      <c r="D424" s="531"/>
      <c r="E424" s="532"/>
    </row>
    <row r="425" ht="12.75" customHeight="1">
      <c r="A425" s="532"/>
      <c r="B425" s="531"/>
      <c r="C425" s="532"/>
      <c r="D425" s="531"/>
      <c r="E425" s="532"/>
    </row>
    <row r="426" ht="12.75" customHeight="1">
      <c r="A426" s="532"/>
      <c r="B426" s="531"/>
      <c r="C426" s="532"/>
      <c r="D426" s="531"/>
      <c r="E426" s="532"/>
    </row>
    <row r="427" ht="12.75" customHeight="1">
      <c r="A427" s="532"/>
      <c r="B427" s="531"/>
      <c r="C427" s="532"/>
      <c r="D427" s="531"/>
      <c r="E427" s="532"/>
    </row>
    <row r="428" ht="12.75" customHeight="1">
      <c r="A428" s="532"/>
      <c r="B428" s="531"/>
      <c r="C428" s="532"/>
      <c r="D428" s="531"/>
      <c r="E428" s="532"/>
    </row>
    <row r="429" ht="12.75" customHeight="1">
      <c r="A429" s="532"/>
      <c r="B429" s="531"/>
      <c r="C429" s="532"/>
      <c r="D429" s="531"/>
      <c r="E429" s="532"/>
    </row>
    <row r="430" ht="12.75" customHeight="1">
      <c r="A430" s="532"/>
      <c r="B430" s="531"/>
      <c r="C430" s="532"/>
      <c r="D430" s="531"/>
      <c r="E430" s="532"/>
    </row>
    <row r="431" ht="12.75" customHeight="1">
      <c r="A431" s="532"/>
      <c r="B431" s="531"/>
      <c r="C431" s="532"/>
      <c r="D431" s="531"/>
      <c r="E431" s="532"/>
    </row>
    <row r="432" ht="12.75" customHeight="1">
      <c r="A432" s="532"/>
      <c r="B432" s="531"/>
      <c r="C432" s="532"/>
      <c r="D432" s="531"/>
      <c r="E432" s="532"/>
    </row>
    <row r="433" ht="12.75" customHeight="1">
      <c r="A433" s="532"/>
      <c r="B433" s="531"/>
      <c r="C433" s="532"/>
      <c r="D433" s="531"/>
      <c r="E433" s="532"/>
    </row>
    <row r="434" ht="12.75" customHeight="1">
      <c r="A434" s="532"/>
      <c r="B434" s="531"/>
      <c r="C434" s="532"/>
      <c r="D434" s="531"/>
      <c r="E434" s="532"/>
    </row>
    <row r="435" ht="12.75" customHeight="1">
      <c r="A435" s="532"/>
      <c r="B435" s="531"/>
      <c r="C435" s="532"/>
      <c r="D435" s="531"/>
      <c r="E435" s="532"/>
    </row>
    <row r="436" ht="12.75" customHeight="1">
      <c r="A436" s="532"/>
      <c r="B436" s="531"/>
      <c r="C436" s="532"/>
      <c r="D436" s="531"/>
      <c r="E436" s="532"/>
    </row>
    <row r="437" ht="12.75" customHeight="1">
      <c r="A437" s="532"/>
      <c r="B437" s="531"/>
      <c r="C437" s="532"/>
      <c r="D437" s="531"/>
      <c r="E437" s="532"/>
    </row>
    <row r="438" ht="12.75" customHeight="1">
      <c r="A438" s="532"/>
      <c r="B438" s="531"/>
      <c r="C438" s="532"/>
      <c r="D438" s="531"/>
      <c r="E438" s="532"/>
    </row>
    <row r="439" ht="12.75" customHeight="1">
      <c r="A439" s="532"/>
      <c r="B439" s="531"/>
      <c r="C439" s="532"/>
      <c r="D439" s="531"/>
      <c r="E439" s="532"/>
    </row>
    <row r="440" ht="12.75" customHeight="1">
      <c r="A440" s="532"/>
      <c r="B440" s="531"/>
      <c r="C440" s="532"/>
      <c r="D440" s="531"/>
      <c r="E440" s="532"/>
    </row>
    <row r="441" ht="12.75" customHeight="1">
      <c r="A441" s="532"/>
      <c r="B441" s="531"/>
      <c r="C441" s="532"/>
      <c r="D441" s="531"/>
      <c r="E441" s="532"/>
    </row>
    <row r="442" ht="12.75" customHeight="1">
      <c r="A442" s="532"/>
      <c r="B442" s="531"/>
      <c r="C442" s="532"/>
      <c r="D442" s="531"/>
      <c r="E442" s="532"/>
    </row>
    <row r="443" ht="12.75" customHeight="1">
      <c r="A443" s="532"/>
      <c r="B443" s="531"/>
      <c r="C443" s="532"/>
      <c r="D443" s="531"/>
      <c r="E443" s="532"/>
    </row>
    <row r="444" ht="12.75" customHeight="1">
      <c r="A444" s="532"/>
      <c r="B444" s="531"/>
      <c r="C444" s="532"/>
      <c r="D444" s="531"/>
      <c r="E444" s="532"/>
    </row>
    <row r="445" ht="12.75" customHeight="1">
      <c r="A445" s="532"/>
      <c r="B445" s="531"/>
      <c r="C445" s="532"/>
      <c r="D445" s="531"/>
      <c r="E445" s="532"/>
    </row>
    <row r="446" ht="12.75" customHeight="1">
      <c r="A446" s="532"/>
      <c r="B446" s="531"/>
      <c r="C446" s="532"/>
      <c r="D446" s="531"/>
      <c r="E446" s="532"/>
    </row>
    <row r="447" ht="12.75" customHeight="1">
      <c r="A447" s="532"/>
      <c r="B447" s="531"/>
      <c r="C447" s="532"/>
      <c r="D447" s="531"/>
      <c r="E447" s="532"/>
    </row>
    <row r="448" ht="12.75" customHeight="1">
      <c r="A448" s="532"/>
      <c r="B448" s="531"/>
      <c r="C448" s="532"/>
      <c r="D448" s="531"/>
      <c r="E448" s="532"/>
    </row>
    <row r="449" ht="12.75" customHeight="1">
      <c r="A449" s="532"/>
      <c r="B449" s="531"/>
      <c r="C449" s="532"/>
      <c r="D449" s="531"/>
      <c r="E449" s="532"/>
    </row>
    <row r="450" ht="12.75" customHeight="1">
      <c r="A450" s="532"/>
      <c r="B450" s="531"/>
      <c r="C450" s="532"/>
      <c r="D450" s="531"/>
      <c r="E450" s="532"/>
    </row>
    <row r="451" ht="12.75" customHeight="1">
      <c r="A451" s="532"/>
      <c r="B451" s="531"/>
      <c r="C451" s="532"/>
      <c r="D451" s="531"/>
      <c r="E451" s="532"/>
    </row>
    <row r="452" ht="12.75" customHeight="1">
      <c r="A452" s="532"/>
      <c r="B452" s="531"/>
      <c r="C452" s="532"/>
      <c r="D452" s="531"/>
      <c r="E452" s="532"/>
    </row>
    <row r="453" ht="12.75" customHeight="1">
      <c r="A453" s="532"/>
      <c r="B453" s="531"/>
      <c r="C453" s="532"/>
      <c r="D453" s="531"/>
      <c r="E453" s="532"/>
    </row>
    <row r="454" ht="12.75" customHeight="1">
      <c r="A454" s="532"/>
      <c r="B454" s="531"/>
      <c r="C454" s="532"/>
      <c r="D454" s="531"/>
      <c r="E454" s="532"/>
    </row>
    <row r="455" ht="12.75" customHeight="1">
      <c r="A455" s="532"/>
      <c r="B455" s="531"/>
      <c r="C455" s="532"/>
      <c r="D455" s="531"/>
      <c r="E455" s="532"/>
    </row>
    <row r="456" ht="12.75" customHeight="1">
      <c r="A456" s="532"/>
      <c r="B456" s="531"/>
      <c r="C456" s="532"/>
      <c r="D456" s="531"/>
      <c r="E456" s="532"/>
    </row>
    <row r="457" ht="12.75" customHeight="1">
      <c r="A457" s="532"/>
      <c r="B457" s="531"/>
      <c r="C457" s="532"/>
      <c r="D457" s="531"/>
      <c r="E457" s="532"/>
    </row>
    <row r="458" ht="12.75" customHeight="1">
      <c r="A458" s="532"/>
      <c r="B458" s="531"/>
      <c r="C458" s="532"/>
      <c r="D458" s="531"/>
      <c r="E458" s="532"/>
    </row>
    <row r="459" ht="12.75" customHeight="1">
      <c r="A459" s="532"/>
      <c r="B459" s="531"/>
      <c r="C459" s="532"/>
      <c r="D459" s="531"/>
      <c r="E459" s="532"/>
    </row>
    <row r="460" ht="12.75" customHeight="1">
      <c r="A460" s="532"/>
      <c r="B460" s="531"/>
      <c r="C460" s="532"/>
      <c r="D460" s="531"/>
      <c r="E460" s="532"/>
    </row>
    <row r="461" ht="12.75" customHeight="1">
      <c r="A461" s="532"/>
      <c r="B461" s="531"/>
      <c r="C461" s="532"/>
      <c r="D461" s="531"/>
      <c r="E461" s="532"/>
    </row>
    <row r="462" ht="12.75" customHeight="1">
      <c r="A462" s="532"/>
      <c r="B462" s="531"/>
      <c r="C462" s="532"/>
      <c r="D462" s="531"/>
      <c r="E462" s="532"/>
    </row>
    <row r="463" ht="12.75" customHeight="1">
      <c r="A463" s="532"/>
      <c r="B463" s="531"/>
      <c r="C463" s="532"/>
      <c r="D463" s="531"/>
      <c r="E463" s="532"/>
    </row>
    <row r="464" ht="12.75" customHeight="1">
      <c r="A464" s="532"/>
      <c r="B464" s="531"/>
      <c r="C464" s="532"/>
      <c r="D464" s="531"/>
      <c r="E464" s="532"/>
    </row>
    <row r="465" ht="12.75" customHeight="1">
      <c r="A465" s="532"/>
      <c r="B465" s="531"/>
      <c r="C465" s="532"/>
      <c r="D465" s="531"/>
      <c r="E465" s="532"/>
    </row>
    <row r="466" ht="12.75" customHeight="1">
      <c r="A466" s="532"/>
      <c r="B466" s="531"/>
      <c r="C466" s="532"/>
      <c r="D466" s="531"/>
      <c r="E466" s="532"/>
    </row>
    <row r="467" ht="12.75" customHeight="1">
      <c r="A467" s="532"/>
      <c r="B467" s="531"/>
      <c r="C467" s="532"/>
      <c r="D467" s="531"/>
      <c r="E467" s="532"/>
    </row>
    <row r="468" ht="12.75" customHeight="1">
      <c r="A468" s="532"/>
      <c r="B468" s="531"/>
      <c r="C468" s="532"/>
      <c r="D468" s="531"/>
      <c r="E468" s="532"/>
    </row>
    <row r="469" ht="12.75" customHeight="1">
      <c r="A469" s="532"/>
      <c r="B469" s="531"/>
      <c r="C469" s="532"/>
      <c r="D469" s="531"/>
      <c r="E469" s="532"/>
    </row>
    <row r="470" ht="12.75" customHeight="1">
      <c r="A470" s="532"/>
      <c r="B470" s="531"/>
      <c r="C470" s="532"/>
      <c r="D470" s="531"/>
      <c r="E470" s="532"/>
    </row>
    <row r="471" ht="12.75" customHeight="1">
      <c r="A471" s="532"/>
      <c r="B471" s="531"/>
      <c r="C471" s="532"/>
      <c r="D471" s="531"/>
      <c r="E471" s="532"/>
    </row>
    <row r="472" ht="12.75" customHeight="1">
      <c r="A472" s="532"/>
      <c r="B472" s="531"/>
      <c r="C472" s="532"/>
      <c r="D472" s="531"/>
      <c r="E472" s="532"/>
    </row>
    <row r="473" ht="12.75" customHeight="1">
      <c r="A473" s="532"/>
      <c r="B473" s="531"/>
      <c r="C473" s="532"/>
      <c r="D473" s="531"/>
      <c r="E473" s="532"/>
    </row>
    <row r="474" ht="12.75" customHeight="1">
      <c r="A474" s="532"/>
      <c r="B474" s="531"/>
      <c r="C474" s="532"/>
      <c r="D474" s="531"/>
      <c r="E474" s="532"/>
    </row>
    <row r="475" ht="12.75" customHeight="1">
      <c r="A475" s="532"/>
      <c r="B475" s="531"/>
      <c r="C475" s="532"/>
      <c r="D475" s="531"/>
      <c r="E475" s="532"/>
    </row>
    <row r="476" ht="12.75" customHeight="1">
      <c r="A476" s="532"/>
      <c r="B476" s="531"/>
      <c r="C476" s="532"/>
      <c r="D476" s="531"/>
      <c r="E476" s="532"/>
    </row>
    <row r="477" ht="12.75" customHeight="1">
      <c r="A477" s="532"/>
      <c r="B477" s="531"/>
      <c r="C477" s="532"/>
      <c r="D477" s="531"/>
      <c r="E477" s="532"/>
    </row>
    <row r="478" ht="12.75" customHeight="1">
      <c r="A478" s="532"/>
      <c r="B478" s="531"/>
      <c r="C478" s="532"/>
      <c r="D478" s="531"/>
      <c r="E478" s="532"/>
    </row>
    <row r="479" ht="12.75" customHeight="1">
      <c r="A479" s="532"/>
      <c r="B479" s="531"/>
      <c r="C479" s="532"/>
      <c r="D479" s="531"/>
      <c r="E479" s="532"/>
    </row>
    <row r="480" ht="12.75" customHeight="1">
      <c r="A480" s="532"/>
      <c r="B480" s="531"/>
      <c r="C480" s="532"/>
      <c r="D480" s="531"/>
      <c r="E480" s="532"/>
    </row>
    <row r="481" ht="12.75" customHeight="1">
      <c r="A481" s="532"/>
      <c r="B481" s="531"/>
      <c r="C481" s="532"/>
      <c r="D481" s="531"/>
      <c r="E481" s="532"/>
    </row>
    <row r="482" ht="12.75" customHeight="1">
      <c r="A482" s="532"/>
      <c r="B482" s="531"/>
      <c r="C482" s="532"/>
      <c r="D482" s="531"/>
      <c r="E482" s="532"/>
    </row>
    <row r="483" ht="12.75" customHeight="1">
      <c r="A483" s="532"/>
      <c r="B483" s="531"/>
      <c r="C483" s="532"/>
      <c r="D483" s="531"/>
      <c r="E483" s="532"/>
    </row>
    <row r="484" ht="12.75" customHeight="1">
      <c r="A484" s="532"/>
      <c r="B484" s="531"/>
      <c r="C484" s="532"/>
      <c r="D484" s="531"/>
      <c r="E484" s="532"/>
    </row>
    <row r="485" ht="12.75" customHeight="1">
      <c r="A485" s="532"/>
      <c r="B485" s="531"/>
      <c r="C485" s="532"/>
      <c r="D485" s="531"/>
      <c r="E485" s="532"/>
    </row>
    <row r="486" ht="12.75" customHeight="1">
      <c r="A486" s="532"/>
      <c r="B486" s="531"/>
      <c r="C486" s="532"/>
      <c r="D486" s="531"/>
      <c r="E486" s="532"/>
    </row>
    <row r="487" ht="12.75" customHeight="1">
      <c r="A487" s="532"/>
      <c r="B487" s="531"/>
      <c r="C487" s="532"/>
      <c r="D487" s="531"/>
      <c r="E487" s="532"/>
    </row>
    <row r="488" ht="12.75" customHeight="1">
      <c r="A488" s="532"/>
      <c r="B488" s="531"/>
      <c r="C488" s="532"/>
      <c r="D488" s="531"/>
      <c r="E488" s="532"/>
    </row>
    <row r="489" ht="12.75" customHeight="1">
      <c r="A489" s="532"/>
      <c r="B489" s="531"/>
      <c r="C489" s="532"/>
      <c r="D489" s="531"/>
      <c r="E489" s="532"/>
    </row>
    <row r="490" ht="12.75" customHeight="1">
      <c r="A490" s="532"/>
      <c r="B490" s="531"/>
      <c r="C490" s="532"/>
      <c r="D490" s="531"/>
      <c r="E490" s="532"/>
    </row>
    <row r="491" ht="12.75" customHeight="1">
      <c r="A491" s="532"/>
      <c r="B491" s="531"/>
      <c r="C491" s="532"/>
      <c r="D491" s="531"/>
      <c r="E491" s="532"/>
    </row>
    <row r="492" ht="12.75" customHeight="1">
      <c r="A492" s="532"/>
      <c r="B492" s="531"/>
      <c r="C492" s="532"/>
      <c r="D492" s="531"/>
      <c r="E492" s="532"/>
    </row>
    <row r="493" ht="12.75" customHeight="1">
      <c r="A493" s="532"/>
      <c r="B493" s="531"/>
      <c r="C493" s="532"/>
      <c r="D493" s="531"/>
      <c r="E493" s="532"/>
    </row>
    <row r="494" ht="12.75" customHeight="1">
      <c r="A494" s="532"/>
      <c r="B494" s="531"/>
      <c r="C494" s="532"/>
      <c r="D494" s="531"/>
      <c r="E494" s="532"/>
    </row>
    <row r="495" ht="12.75" customHeight="1">
      <c r="A495" s="532"/>
      <c r="B495" s="531"/>
      <c r="C495" s="532"/>
      <c r="D495" s="531"/>
      <c r="E495" s="532"/>
    </row>
    <row r="496" ht="12.75" customHeight="1">
      <c r="A496" s="532"/>
      <c r="B496" s="531"/>
      <c r="C496" s="532"/>
      <c r="D496" s="531"/>
      <c r="E496" s="532"/>
    </row>
    <row r="497" ht="12.75" customHeight="1">
      <c r="A497" s="532"/>
      <c r="B497" s="531"/>
      <c r="C497" s="532"/>
      <c r="D497" s="531"/>
      <c r="E497" s="532"/>
    </row>
    <row r="498" ht="12.75" customHeight="1">
      <c r="A498" s="532"/>
      <c r="B498" s="531"/>
      <c r="C498" s="532"/>
      <c r="D498" s="531"/>
      <c r="E498" s="532"/>
    </row>
    <row r="499" ht="12.75" customHeight="1">
      <c r="A499" s="532"/>
      <c r="B499" s="531"/>
      <c r="C499" s="532"/>
      <c r="D499" s="531"/>
      <c r="E499" s="532"/>
    </row>
    <row r="500" ht="12.75" customHeight="1">
      <c r="A500" s="532"/>
      <c r="B500" s="531"/>
      <c r="C500" s="532"/>
      <c r="D500" s="531"/>
      <c r="E500" s="532"/>
    </row>
    <row r="501" ht="12.75" customHeight="1">
      <c r="A501" s="532"/>
      <c r="B501" s="531"/>
      <c r="C501" s="532"/>
      <c r="D501" s="531"/>
      <c r="E501" s="532"/>
    </row>
    <row r="502" ht="12.75" customHeight="1">
      <c r="A502" s="532"/>
      <c r="B502" s="531"/>
      <c r="C502" s="532"/>
      <c r="D502" s="531"/>
      <c r="E502" s="532"/>
    </row>
    <row r="503" ht="12.75" customHeight="1">
      <c r="A503" s="532"/>
      <c r="B503" s="531"/>
      <c r="C503" s="532"/>
      <c r="D503" s="531"/>
      <c r="E503" s="532"/>
    </row>
    <row r="504" ht="12.75" customHeight="1">
      <c r="A504" s="532"/>
      <c r="B504" s="531"/>
      <c r="C504" s="532"/>
      <c r="D504" s="531"/>
      <c r="E504" s="532"/>
    </row>
    <row r="505" ht="12.75" customHeight="1">
      <c r="A505" s="532"/>
      <c r="B505" s="531"/>
      <c r="C505" s="532"/>
      <c r="D505" s="531"/>
      <c r="E505" s="532"/>
    </row>
    <row r="506" ht="12.75" customHeight="1">
      <c r="A506" s="532"/>
      <c r="B506" s="531"/>
      <c r="C506" s="532"/>
      <c r="D506" s="531"/>
      <c r="E506" s="532"/>
    </row>
    <row r="507" ht="12.75" customHeight="1">
      <c r="A507" s="532"/>
      <c r="B507" s="531"/>
      <c r="C507" s="532"/>
      <c r="D507" s="531"/>
      <c r="E507" s="532"/>
    </row>
    <row r="508" ht="12.75" customHeight="1">
      <c r="A508" s="532"/>
      <c r="B508" s="531"/>
      <c r="C508" s="532"/>
      <c r="D508" s="531"/>
      <c r="E508" s="532"/>
    </row>
    <row r="509" ht="12.75" customHeight="1">
      <c r="A509" s="532"/>
      <c r="B509" s="531"/>
      <c r="C509" s="532"/>
      <c r="D509" s="531"/>
      <c r="E509" s="532"/>
    </row>
    <row r="510" ht="12.75" customHeight="1">
      <c r="A510" s="532"/>
      <c r="B510" s="531"/>
      <c r="C510" s="532"/>
      <c r="D510" s="531"/>
      <c r="E510" s="532"/>
    </row>
    <row r="511" ht="12.75" customHeight="1">
      <c r="A511" s="532"/>
      <c r="B511" s="531"/>
      <c r="C511" s="532"/>
      <c r="D511" s="531"/>
      <c r="E511" s="532"/>
    </row>
    <row r="512" ht="12.75" customHeight="1">
      <c r="A512" s="532"/>
      <c r="B512" s="531"/>
      <c r="C512" s="532"/>
      <c r="D512" s="531"/>
      <c r="E512" s="532"/>
    </row>
    <row r="513" ht="12.75" customHeight="1">
      <c r="A513" s="532"/>
      <c r="B513" s="531"/>
      <c r="C513" s="532"/>
      <c r="D513" s="531"/>
      <c r="E513" s="532"/>
    </row>
    <row r="514" ht="12.75" customHeight="1">
      <c r="A514" s="532"/>
      <c r="B514" s="531"/>
      <c r="C514" s="532"/>
      <c r="D514" s="531"/>
      <c r="E514" s="532"/>
    </row>
    <row r="515" ht="12.75" customHeight="1">
      <c r="A515" s="532"/>
      <c r="B515" s="531"/>
      <c r="C515" s="532"/>
      <c r="D515" s="531"/>
      <c r="E515" s="532"/>
    </row>
    <row r="516" ht="12.75" customHeight="1">
      <c r="A516" s="532"/>
      <c r="B516" s="531"/>
      <c r="C516" s="532"/>
      <c r="D516" s="531"/>
      <c r="E516" s="532"/>
    </row>
    <row r="517" ht="12.75" customHeight="1">
      <c r="A517" s="532"/>
      <c r="B517" s="531"/>
      <c r="C517" s="532"/>
      <c r="D517" s="531"/>
      <c r="E517" s="532"/>
    </row>
    <row r="518" ht="12.75" customHeight="1">
      <c r="A518" s="532"/>
      <c r="B518" s="531"/>
      <c r="C518" s="532"/>
      <c r="D518" s="531"/>
      <c r="E518" s="532"/>
    </row>
    <row r="519" ht="12.75" customHeight="1">
      <c r="A519" s="532"/>
      <c r="B519" s="531"/>
      <c r="C519" s="532"/>
      <c r="D519" s="531"/>
      <c r="E519" s="532"/>
    </row>
    <row r="520" ht="12.75" customHeight="1">
      <c r="A520" s="532"/>
      <c r="B520" s="531"/>
      <c r="C520" s="532"/>
      <c r="D520" s="531"/>
      <c r="E520" s="532"/>
    </row>
    <row r="521" ht="12.75" customHeight="1">
      <c r="A521" s="532"/>
      <c r="B521" s="531"/>
      <c r="C521" s="532"/>
      <c r="D521" s="531"/>
      <c r="E521" s="532"/>
    </row>
    <row r="522" ht="12.75" customHeight="1">
      <c r="A522" s="532"/>
      <c r="B522" s="531"/>
      <c r="C522" s="532"/>
      <c r="D522" s="531"/>
      <c r="E522" s="532"/>
    </row>
    <row r="523" ht="12.75" customHeight="1">
      <c r="A523" s="532"/>
      <c r="B523" s="531"/>
      <c r="C523" s="532"/>
      <c r="D523" s="531"/>
      <c r="E523" s="532"/>
    </row>
    <row r="524" ht="12.75" customHeight="1">
      <c r="A524" s="532"/>
      <c r="B524" s="531"/>
      <c r="C524" s="532"/>
      <c r="D524" s="531"/>
      <c r="E524" s="532"/>
    </row>
    <row r="525" ht="12.75" customHeight="1">
      <c r="A525" s="532"/>
      <c r="B525" s="531"/>
      <c r="C525" s="532"/>
      <c r="D525" s="531"/>
      <c r="E525" s="532"/>
    </row>
    <row r="526" ht="12.75" customHeight="1">
      <c r="A526" s="532"/>
      <c r="B526" s="531"/>
      <c r="C526" s="532"/>
      <c r="D526" s="531"/>
      <c r="E526" s="532"/>
    </row>
    <row r="527" ht="12.75" customHeight="1">
      <c r="A527" s="532"/>
      <c r="B527" s="531"/>
      <c r="C527" s="532"/>
      <c r="D527" s="531"/>
      <c r="E527" s="532"/>
    </row>
    <row r="528" ht="12.75" customHeight="1">
      <c r="A528" s="532"/>
      <c r="B528" s="531"/>
      <c r="C528" s="532"/>
      <c r="D528" s="531"/>
      <c r="E528" s="532"/>
    </row>
    <row r="529" ht="12.75" customHeight="1">
      <c r="A529" s="532"/>
      <c r="B529" s="531"/>
      <c r="C529" s="532"/>
      <c r="D529" s="531"/>
      <c r="E529" s="532"/>
    </row>
    <row r="530" ht="12.75" customHeight="1">
      <c r="A530" s="532"/>
      <c r="B530" s="531"/>
      <c r="C530" s="532"/>
      <c r="D530" s="531"/>
      <c r="E530" s="532"/>
    </row>
    <row r="531" ht="12.75" customHeight="1">
      <c r="A531" s="532"/>
      <c r="B531" s="531"/>
      <c r="C531" s="532"/>
      <c r="D531" s="531"/>
      <c r="E531" s="532"/>
    </row>
    <row r="532" ht="12.75" customHeight="1">
      <c r="A532" s="532"/>
      <c r="B532" s="531"/>
      <c r="C532" s="532"/>
      <c r="D532" s="531"/>
      <c r="E532" s="532"/>
    </row>
    <row r="533" ht="12.75" customHeight="1">
      <c r="A533" s="532"/>
      <c r="B533" s="531"/>
      <c r="C533" s="532"/>
      <c r="D533" s="531"/>
      <c r="E533" s="532"/>
    </row>
    <row r="534" ht="12.75" customHeight="1">
      <c r="A534" s="532"/>
      <c r="B534" s="531"/>
      <c r="C534" s="532"/>
      <c r="D534" s="531"/>
      <c r="E534" s="532"/>
    </row>
    <row r="535" ht="12.75" customHeight="1">
      <c r="A535" s="532"/>
      <c r="B535" s="531"/>
      <c r="C535" s="532"/>
      <c r="D535" s="531"/>
      <c r="E535" s="532"/>
    </row>
    <row r="536" ht="12.75" customHeight="1">
      <c r="A536" s="532"/>
      <c r="B536" s="531"/>
      <c r="C536" s="532"/>
      <c r="D536" s="531"/>
      <c r="E536" s="532"/>
    </row>
    <row r="537" ht="12.75" customHeight="1">
      <c r="A537" s="532"/>
      <c r="B537" s="531"/>
      <c r="C537" s="532"/>
      <c r="D537" s="531"/>
      <c r="E537" s="532"/>
    </row>
    <row r="538" ht="12.75" customHeight="1">
      <c r="A538" s="532"/>
      <c r="B538" s="531"/>
      <c r="C538" s="532"/>
      <c r="D538" s="531"/>
      <c r="E538" s="532"/>
    </row>
    <row r="539" ht="12.75" customHeight="1">
      <c r="A539" s="532"/>
      <c r="B539" s="531"/>
      <c r="C539" s="532"/>
      <c r="D539" s="531"/>
      <c r="E539" s="532"/>
    </row>
    <row r="540" ht="12.75" customHeight="1">
      <c r="A540" s="532"/>
      <c r="B540" s="531"/>
      <c r="C540" s="532"/>
      <c r="D540" s="531"/>
      <c r="E540" s="532"/>
    </row>
    <row r="541" ht="12.75" customHeight="1">
      <c r="A541" s="532"/>
      <c r="B541" s="531"/>
      <c r="C541" s="532"/>
      <c r="D541" s="531"/>
      <c r="E541" s="532"/>
    </row>
    <row r="542" ht="12.75" customHeight="1">
      <c r="A542" s="532"/>
      <c r="B542" s="531"/>
      <c r="C542" s="532"/>
      <c r="D542" s="531"/>
      <c r="E542" s="532"/>
    </row>
    <row r="543" ht="12.75" customHeight="1">
      <c r="A543" s="532"/>
      <c r="B543" s="531"/>
      <c r="C543" s="532"/>
      <c r="D543" s="531"/>
      <c r="E543" s="532"/>
    </row>
    <row r="544" ht="12.75" customHeight="1">
      <c r="A544" s="532"/>
      <c r="B544" s="531"/>
      <c r="C544" s="532"/>
      <c r="D544" s="531"/>
      <c r="E544" s="532"/>
    </row>
    <row r="545" ht="12.75" customHeight="1">
      <c r="A545" s="532"/>
      <c r="B545" s="531"/>
      <c r="C545" s="532"/>
      <c r="D545" s="531"/>
      <c r="E545" s="532"/>
    </row>
    <row r="546" ht="12.75" customHeight="1">
      <c r="A546" s="532"/>
      <c r="B546" s="531"/>
      <c r="C546" s="532"/>
      <c r="D546" s="531"/>
      <c r="E546" s="532"/>
    </row>
    <row r="547" ht="12.75" customHeight="1">
      <c r="A547" s="532"/>
      <c r="B547" s="531"/>
      <c r="C547" s="532"/>
      <c r="D547" s="531"/>
      <c r="E547" s="532"/>
    </row>
    <row r="548" ht="12.75" customHeight="1">
      <c r="A548" s="532"/>
      <c r="B548" s="531"/>
      <c r="C548" s="532"/>
      <c r="D548" s="531"/>
      <c r="E548" s="532"/>
    </row>
    <row r="549" ht="12.75" customHeight="1">
      <c r="A549" s="532"/>
      <c r="B549" s="531"/>
      <c r="C549" s="532"/>
      <c r="D549" s="531"/>
      <c r="E549" s="532"/>
    </row>
    <row r="550" ht="12.75" customHeight="1">
      <c r="A550" s="532"/>
      <c r="B550" s="531"/>
      <c r="C550" s="532"/>
      <c r="D550" s="531"/>
      <c r="E550" s="532"/>
    </row>
    <row r="551" ht="12.75" customHeight="1">
      <c r="A551" s="532"/>
      <c r="B551" s="531"/>
      <c r="C551" s="532"/>
      <c r="D551" s="531"/>
      <c r="E551" s="532"/>
    </row>
    <row r="552" ht="12.75" customHeight="1">
      <c r="A552" s="532"/>
      <c r="B552" s="531"/>
      <c r="C552" s="532"/>
      <c r="D552" s="531"/>
      <c r="E552" s="532"/>
    </row>
    <row r="553" ht="12.75" customHeight="1">
      <c r="A553" s="532"/>
      <c r="B553" s="531"/>
      <c r="C553" s="532"/>
      <c r="D553" s="531"/>
      <c r="E553" s="532"/>
    </row>
    <row r="554" ht="12.75" customHeight="1">
      <c r="A554" s="532"/>
      <c r="B554" s="531"/>
      <c r="C554" s="532"/>
      <c r="D554" s="531"/>
      <c r="E554" s="532"/>
    </row>
    <row r="555" ht="12.75" customHeight="1">
      <c r="A555" s="532"/>
      <c r="B555" s="531"/>
      <c r="C555" s="532"/>
      <c r="D555" s="531"/>
      <c r="E555" s="532"/>
    </row>
    <row r="556" ht="12.75" customHeight="1">
      <c r="A556" s="532"/>
      <c r="B556" s="531"/>
      <c r="C556" s="532"/>
      <c r="D556" s="531"/>
      <c r="E556" s="532"/>
    </row>
    <row r="557" ht="12.75" customHeight="1">
      <c r="A557" s="532"/>
      <c r="B557" s="531"/>
      <c r="C557" s="532"/>
      <c r="D557" s="531"/>
      <c r="E557" s="532"/>
    </row>
    <row r="558" ht="12.75" customHeight="1">
      <c r="A558" s="532"/>
      <c r="B558" s="531"/>
      <c r="C558" s="532"/>
      <c r="D558" s="531"/>
      <c r="E558" s="532"/>
    </row>
    <row r="559" ht="12.75" customHeight="1">
      <c r="A559" s="532"/>
      <c r="B559" s="531"/>
      <c r="C559" s="532"/>
      <c r="D559" s="531"/>
      <c r="E559" s="532"/>
    </row>
    <row r="560" ht="12.75" customHeight="1">
      <c r="A560" s="532"/>
      <c r="B560" s="531"/>
      <c r="C560" s="532"/>
      <c r="D560" s="531"/>
      <c r="E560" s="532"/>
    </row>
    <row r="561" ht="12.75" customHeight="1">
      <c r="A561" s="532"/>
      <c r="B561" s="531"/>
      <c r="C561" s="532"/>
      <c r="D561" s="531"/>
      <c r="E561" s="532"/>
    </row>
    <row r="562" ht="12.75" customHeight="1">
      <c r="A562" s="532"/>
      <c r="B562" s="531"/>
      <c r="C562" s="532"/>
      <c r="D562" s="531"/>
      <c r="E562" s="532"/>
    </row>
    <row r="563" ht="12.75" customHeight="1">
      <c r="A563" s="532"/>
      <c r="B563" s="531"/>
      <c r="C563" s="532"/>
      <c r="D563" s="531"/>
      <c r="E563" s="532"/>
    </row>
    <row r="564" ht="12.75" customHeight="1">
      <c r="A564" s="532"/>
      <c r="B564" s="531"/>
      <c r="C564" s="532"/>
      <c r="D564" s="531"/>
      <c r="E564" s="532"/>
    </row>
    <row r="565" ht="12.75" customHeight="1">
      <c r="A565" s="532"/>
      <c r="B565" s="531"/>
      <c r="C565" s="532"/>
      <c r="D565" s="531"/>
      <c r="E565" s="532"/>
    </row>
    <row r="566" ht="12.75" customHeight="1">
      <c r="A566" s="532"/>
      <c r="B566" s="531"/>
      <c r="C566" s="532"/>
      <c r="D566" s="531"/>
      <c r="E566" s="532"/>
    </row>
    <row r="567" ht="12.75" customHeight="1">
      <c r="A567" s="532"/>
      <c r="B567" s="531"/>
      <c r="C567" s="532"/>
      <c r="D567" s="531"/>
      <c r="E567" s="532"/>
    </row>
    <row r="568" ht="12.75" customHeight="1">
      <c r="A568" s="532"/>
      <c r="B568" s="531"/>
      <c r="C568" s="532"/>
      <c r="D568" s="531"/>
      <c r="E568" s="532"/>
    </row>
    <row r="569" ht="12.75" customHeight="1">
      <c r="A569" s="532"/>
      <c r="B569" s="531"/>
      <c r="C569" s="532"/>
      <c r="D569" s="531"/>
      <c r="E569" s="532"/>
    </row>
    <row r="570" ht="12.75" customHeight="1">
      <c r="A570" s="532"/>
      <c r="B570" s="531"/>
      <c r="C570" s="532"/>
      <c r="D570" s="531"/>
      <c r="E570" s="532"/>
    </row>
    <row r="571" ht="12.75" customHeight="1">
      <c r="A571" s="532"/>
      <c r="B571" s="531"/>
      <c r="C571" s="532"/>
      <c r="D571" s="531"/>
      <c r="E571" s="532"/>
    </row>
    <row r="572" ht="12.75" customHeight="1">
      <c r="A572" s="532"/>
      <c r="B572" s="531"/>
      <c r="C572" s="532"/>
      <c r="D572" s="531"/>
      <c r="E572" s="532"/>
    </row>
    <row r="573" ht="12.75" customHeight="1">
      <c r="A573" s="532"/>
      <c r="B573" s="531"/>
      <c r="C573" s="532"/>
      <c r="D573" s="531"/>
      <c r="E573" s="532"/>
    </row>
    <row r="574" ht="12.75" customHeight="1">
      <c r="A574" s="532"/>
      <c r="B574" s="531"/>
      <c r="C574" s="532"/>
      <c r="D574" s="531"/>
      <c r="E574" s="532"/>
    </row>
    <row r="575" ht="12.75" customHeight="1">
      <c r="A575" s="532"/>
      <c r="B575" s="531"/>
      <c r="C575" s="532"/>
      <c r="D575" s="531"/>
      <c r="E575" s="532"/>
    </row>
    <row r="576" ht="12.75" customHeight="1">
      <c r="A576" s="532"/>
      <c r="B576" s="531"/>
      <c r="C576" s="532"/>
      <c r="D576" s="531"/>
      <c r="E576" s="532"/>
    </row>
    <row r="577" ht="12.75" customHeight="1">
      <c r="A577" s="532"/>
      <c r="B577" s="531"/>
      <c r="C577" s="532"/>
      <c r="D577" s="531"/>
      <c r="E577" s="532"/>
    </row>
    <row r="578" ht="12.75" customHeight="1">
      <c r="A578" s="532"/>
      <c r="B578" s="531"/>
      <c r="C578" s="532"/>
      <c r="D578" s="531"/>
      <c r="E578" s="532"/>
    </row>
    <row r="579" ht="12.75" customHeight="1">
      <c r="A579" s="532"/>
      <c r="B579" s="531"/>
      <c r="C579" s="532"/>
      <c r="D579" s="531"/>
      <c r="E579" s="532"/>
    </row>
    <row r="580" ht="12.75" customHeight="1">
      <c r="A580" s="532"/>
      <c r="B580" s="531"/>
      <c r="C580" s="532"/>
      <c r="D580" s="531"/>
      <c r="E580" s="532"/>
    </row>
    <row r="581" ht="12.75" customHeight="1">
      <c r="A581" s="532"/>
      <c r="B581" s="531"/>
      <c r="C581" s="532"/>
      <c r="D581" s="531"/>
      <c r="E581" s="532"/>
    </row>
    <row r="582" ht="12.75" customHeight="1">
      <c r="A582" s="532"/>
      <c r="B582" s="531"/>
      <c r="C582" s="532"/>
      <c r="D582" s="531"/>
      <c r="E582" s="532"/>
    </row>
    <row r="583" ht="12.75" customHeight="1">
      <c r="A583" s="532"/>
      <c r="B583" s="531"/>
      <c r="C583" s="532"/>
      <c r="D583" s="531"/>
      <c r="E583" s="532"/>
    </row>
    <row r="584" ht="12.75" customHeight="1">
      <c r="A584" s="532"/>
      <c r="B584" s="531"/>
      <c r="C584" s="532"/>
      <c r="D584" s="531"/>
      <c r="E584" s="532"/>
    </row>
    <row r="585" ht="12.75" customHeight="1">
      <c r="A585" s="532"/>
      <c r="B585" s="531"/>
      <c r="C585" s="532"/>
      <c r="D585" s="531"/>
      <c r="E585" s="532"/>
    </row>
    <row r="586" ht="12.75" customHeight="1">
      <c r="A586" s="532"/>
      <c r="B586" s="531"/>
      <c r="C586" s="532"/>
      <c r="D586" s="531"/>
      <c r="E586" s="532"/>
    </row>
    <row r="587" ht="12.75" customHeight="1">
      <c r="A587" s="532"/>
      <c r="B587" s="531"/>
      <c r="C587" s="532"/>
      <c r="D587" s="531"/>
      <c r="E587" s="532"/>
    </row>
    <row r="588" ht="12.75" customHeight="1">
      <c r="A588" s="532"/>
      <c r="B588" s="531"/>
      <c r="C588" s="532"/>
      <c r="D588" s="531"/>
      <c r="E588" s="532"/>
    </row>
    <row r="589" ht="12.75" customHeight="1">
      <c r="A589" s="532"/>
      <c r="B589" s="531"/>
      <c r="C589" s="532"/>
      <c r="D589" s="531"/>
      <c r="E589" s="532"/>
    </row>
    <row r="590" ht="12.75" customHeight="1">
      <c r="A590" s="532"/>
      <c r="B590" s="531"/>
      <c r="C590" s="532"/>
      <c r="D590" s="531"/>
      <c r="E590" s="532"/>
    </row>
    <row r="591" ht="12.75" customHeight="1">
      <c r="A591" s="532"/>
      <c r="B591" s="531"/>
      <c r="C591" s="532"/>
      <c r="D591" s="531"/>
      <c r="E591" s="532"/>
    </row>
    <row r="592" ht="12.75" customHeight="1">
      <c r="A592" s="532"/>
      <c r="B592" s="531"/>
      <c r="C592" s="532"/>
      <c r="D592" s="531"/>
      <c r="E592" s="532"/>
    </row>
    <row r="593" ht="12.75" customHeight="1">
      <c r="A593" s="532"/>
      <c r="B593" s="531"/>
      <c r="C593" s="532"/>
      <c r="D593" s="531"/>
      <c r="E593" s="532"/>
    </row>
    <row r="594" ht="12.75" customHeight="1">
      <c r="A594" s="532"/>
      <c r="B594" s="531"/>
      <c r="C594" s="532"/>
      <c r="D594" s="531"/>
      <c r="E594" s="532"/>
    </row>
    <row r="595" ht="12.75" customHeight="1">
      <c r="A595" s="532"/>
      <c r="B595" s="531"/>
      <c r="C595" s="532"/>
      <c r="D595" s="531"/>
      <c r="E595" s="532"/>
    </row>
    <row r="596" ht="12.75" customHeight="1">
      <c r="A596" s="532"/>
      <c r="B596" s="531"/>
      <c r="C596" s="532"/>
      <c r="D596" s="531"/>
      <c r="E596" s="532"/>
    </row>
    <row r="597" ht="12.75" customHeight="1">
      <c r="A597" s="532"/>
      <c r="B597" s="531"/>
      <c r="C597" s="532"/>
      <c r="D597" s="531"/>
      <c r="E597" s="532"/>
    </row>
    <row r="598" ht="12.75" customHeight="1">
      <c r="A598" s="532"/>
      <c r="B598" s="531"/>
      <c r="C598" s="532"/>
      <c r="D598" s="531"/>
      <c r="E598" s="532"/>
    </row>
    <row r="599" ht="12.75" customHeight="1">
      <c r="A599" s="532"/>
      <c r="B599" s="531"/>
      <c r="C599" s="532"/>
      <c r="D599" s="531"/>
      <c r="E599" s="532"/>
    </row>
    <row r="600" ht="12.75" customHeight="1">
      <c r="A600" s="532"/>
      <c r="B600" s="531"/>
      <c r="C600" s="532"/>
      <c r="D600" s="531"/>
      <c r="E600" s="532"/>
    </row>
    <row r="601" ht="12.75" customHeight="1">
      <c r="A601" s="532"/>
      <c r="B601" s="531"/>
      <c r="C601" s="532"/>
      <c r="D601" s="531"/>
      <c r="E601" s="532"/>
    </row>
    <row r="602" ht="12.75" customHeight="1">
      <c r="A602" s="532"/>
      <c r="B602" s="531"/>
      <c r="C602" s="532"/>
      <c r="D602" s="531"/>
      <c r="E602" s="532"/>
    </row>
    <row r="603" ht="12.75" customHeight="1">
      <c r="A603" s="532"/>
      <c r="B603" s="531"/>
      <c r="C603" s="532"/>
      <c r="D603" s="531"/>
      <c r="E603" s="532"/>
    </row>
    <row r="604" ht="12.75" customHeight="1">
      <c r="A604" s="532"/>
      <c r="B604" s="531"/>
      <c r="C604" s="532"/>
      <c r="D604" s="531"/>
      <c r="E604" s="532"/>
    </row>
    <row r="605" ht="12.75" customHeight="1">
      <c r="A605" s="532"/>
      <c r="B605" s="531"/>
      <c r="C605" s="532"/>
      <c r="D605" s="531"/>
      <c r="E605" s="532"/>
    </row>
    <row r="606" ht="12.75" customHeight="1">
      <c r="A606" s="532"/>
      <c r="B606" s="531"/>
      <c r="C606" s="532"/>
      <c r="D606" s="531"/>
      <c r="E606" s="532"/>
    </row>
    <row r="607" ht="12.75" customHeight="1">
      <c r="A607" s="532"/>
      <c r="B607" s="531"/>
      <c r="C607" s="532"/>
      <c r="D607" s="531"/>
      <c r="E607" s="532"/>
    </row>
    <row r="608" ht="12.75" customHeight="1">
      <c r="A608" s="532"/>
      <c r="B608" s="531"/>
      <c r="C608" s="532"/>
      <c r="D608" s="531"/>
      <c r="E608" s="532"/>
    </row>
    <row r="609" ht="12.75" customHeight="1">
      <c r="A609" s="532"/>
      <c r="B609" s="531"/>
      <c r="C609" s="532"/>
      <c r="D609" s="531"/>
      <c r="E609" s="532"/>
    </row>
    <row r="610" ht="12.75" customHeight="1">
      <c r="A610" s="532"/>
      <c r="B610" s="531"/>
      <c r="C610" s="532"/>
      <c r="D610" s="531"/>
      <c r="E610" s="532"/>
    </row>
    <row r="611" ht="12.75" customHeight="1">
      <c r="A611" s="532"/>
      <c r="B611" s="531"/>
      <c r="C611" s="532"/>
      <c r="D611" s="531"/>
      <c r="E611" s="532"/>
    </row>
    <row r="612" ht="12.75" customHeight="1">
      <c r="A612" s="532"/>
      <c r="B612" s="531"/>
      <c r="C612" s="532"/>
      <c r="D612" s="531"/>
      <c r="E612" s="532"/>
    </row>
    <row r="613" ht="12.75" customHeight="1">
      <c r="A613" s="532"/>
      <c r="B613" s="531"/>
      <c r="C613" s="532"/>
      <c r="D613" s="531"/>
      <c r="E613" s="532"/>
    </row>
    <row r="614" ht="12.75" customHeight="1">
      <c r="A614" s="532"/>
      <c r="B614" s="531"/>
      <c r="C614" s="532"/>
      <c r="D614" s="531"/>
      <c r="E614" s="532"/>
    </row>
    <row r="615" ht="12.75" customHeight="1">
      <c r="A615" s="532"/>
      <c r="B615" s="531"/>
      <c r="C615" s="532"/>
      <c r="D615" s="531"/>
      <c r="E615" s="532"/>
    </row>
    <row r="616" ht="12.75" customHeight="1">
      <c r="A616" s="532"/>
      <c r="B616" s="531"/>
      <c r="C616" s="532"/>
      <c r="D616" s="531"/>
      <c r="E616" s="532"/>
    </row>
    <row r="617" ht="12.75" customHeight="1">
      <c r="A617" s="532"/>
      <c r="B617" s="531"/>
      <c r="C617" s="532"/>
      <c r="D617" s="531"/>
      <c r="E617" s="532"/>
    </row>
    <row r="618" ht="12.75" customHeight="1">
      <c r="A618" s="532"/>
      <c r="B618" s="531"/>
      <c r="C618" s="532"/>
      <c r="D618" s="531"/>
      <c r="E618" s="532"/>
    </row>
    <row r="619" ht="12.75" customHeight="1">
      <c r="A619" s="532"/>
      <c r="B619" s="531"/>
      <c r="C619" s="532"/>
      <c r="D619" s="531"/>
      <c r="E619" s="532"/>
    </row>
    <row r="620" ht="12.75" customHeight="1">
      <c r="A620" s="532"/>
      <c r="B620" s="531"/>
      <c r="C620" s="532"/>
      <c r="D620" s="531"/>
      <c r="E620" s="532"/>
    </row>
    <row r="621" ht="12.75" customHeight="1">
      <c r="A621" s="532"/>
      <c r="B621" s="531"/>
      <c r="C621" s="532"/>
      <c r="D621" s="531"/>
      <c r="E621" s="532"/>
    </row>
    <row r="622" ht="12.75" customHeight="1">
      <c r="A622" s="532"/>
      <c r="B622" s="531"/>
      <c r="C622" s="532"/>
      <c r="D622" s="531"/>
      <c r="E622" s="532"/>
    </row>
    <row r="623" ht="12.75" customHeight="1">
      <c r="A623" s="532"/>
      <c r="B623" s="531"/>
      <c r="C623" s="532"/>
      <c r="D623" s="531"/>
      <c r="E623" s="532"/>
    </row>
    <row r="624" ht="12.75" customHeight="1">
      <c r="A624" s="532"/>
      <c r="B624" s="531"/>
      <c r="C624" s="532"/>
      <c r="D624" s="531"/>
      <c r="E624" s="532"/>
    </row>
    <row r="625" ht="12.75" customHeight="1">
      <c r="A625" s="532"/>
      <c r="B625" s="531"/>
      <c r="C625" s="532"/>
      <c r="D625" s="531"/>
      <c r="E625" s="532"/>
    </row>
    <row r="626" ht="12.75" customHeight="1">
      <c r="A626" s="532"/>
      <c r="B626" s="531"/>
      <c r="C626" s="532"/>
      <c r="D626" s="531"/>
      <c r="E626" s="532"/>
    </row>
    <row r="627" ht="12.75" customHeight="1">
      <c r="A627" s="532"/>
      <c r="B627" s="531"/>
      <c r="C627" s="532"/>
      <c r="D627" s="531"/>
      <c r="E627" s="532"/>
    </row>
    <row r="628" ht="12.75" customHeight="1">
      <c r="A628" s="532"/>
      <c r="B628" s="531"/>
      <c r="C628" s="532"/>
      <c r="D628" s="531"/>
      <c r="E628" s="532"/>
    </row>
    <row r="629" ht="12.75" customHeight="1">
      <c r="A629" s="532"/>
      <c r="B629" s="531"/>
      <c r="C629" s="532"/>
      <c r="D629" s="531"/>
      <c r="E629" s="532"/>
    </row>
    <row r="630" ht="12.75" customHeight="1">
      <c r="A630" s="532"/>
      <c r="B630" s="531"/>
      <c r="C630" s="532"/>
      <c r="D630" s="531"/>
      <c r="E630" s="532"/>
    </row>
    <row r="631" ht="12.75" customHeight="1">
      <c r="A631" s="532"/>
      <c r="B631" s="531"/>
      <c r="C631" s="532"/>
      <c r="D631" s="531"/>
      <c r="E631" s="532"/>
    </row>
    <row r="632" ht="12.75" customHeight="1">
      <c r="A632" s="532"/>
      <c r="B632" s="531"/>
      <c r="C632" s="532"/>
      <c r="D632" s="531"/>
      <c r="E632" s="532"/>
    </row>
    <row r="633" ht="12.75" customHeight="1">
      <c r="A633" s="532"/>
      <c r="B633" s="531"/>
      <c r="C633" s="532"/>
      <c r="D633" s="531"/>
      <c r="E633" s="532"/>
    </row>
    <row r="634" ht="12.75" customHeight="1">
      <c r="A634" s="532"/>
      <c r="B634" s="531"/>
      <c r="C634" s="532"/>
      <c r="D634" s="531"/>
      <c r="E634" s="532"/>
    </row>
    <row r="635" ht="12.75" customHeight="1">
      <c r="A635" s="532"/>
      <c r="B635" s="531"/>
      <c r="C635" s="532"/>
      <c r="D635" s="531"/>
      <c r="E635" s="532"/>
    </row>
    <row r="636" ht="12.75" customHeight="1">
      <c r="A636" s="532"/>
      <c r="B636" s="531"/>
      <c r="C636" s="532"/>
      <c r="D636" s="531"/>
      <c r="E636" s="532"/>
    </row>
    <row r="637" ht="12.75" customHeight="1">
      <c r="A637" s="532"/>
      <c r="B637" s="531"/>
      <c r="C637" s="532"/>
      <c r="D637" s="531"/>
      <c r="E637" s="532"/>
    </row>
    <row r="638" ht="12.75" customHeight="1">
      <c r="A638" s="532"/>
      <c r="B638" s="531"/>
      <c r="C638" s="532"/>
      <c r="D638" s="531"/>
      <c r="E638" s="532"/>
    </row>
    <row r="639" ht="12.75" customHeight="1">
      <c r="A639" s="532"/>
      <c r="B639" s="531"/>
      <c r="C639" s="532"/>
      <c r="D639" s="531"/>
      <c r="E639" s="532"/>
    </row>
    <row r="640" ht="12.75" customHeight="1">
      <c r="A640" s="532"/>
      <c r="B640" s="531"/>
      <c r="C640" s="532"/>
      <c r="D640" s="531"/>
      <c r="E640" s="532"/>
    </row>
    <row r="641" ht="12.75" customHeight="1">
      <c r="A641" s="532"/>
      <c r="B641" s="531"/>
      <c r="C641" s="532"/>
      <c r="D641" s="531"/>
      <c r="E641" s="532"/>
    </row>
    <row r="642" ht="12.75" customHeight="1">
      <c r="A642" s="532"/>
      <c r="B642" s="531"/>
      <c r="C642" s="532"/>
      <c r="D642" s="531"/>
      <c r="E642" s="532"/>
    </row>
    <row r="643" ht="12.75" customHeight="1">
      <c r="A643" s="532"/>
      <c r="B643" s="531"/>
      <c r="C643" s="532"/>
      <c r="D643" s="531"/>
      <c r="E643" s="532"/>
    </row>
    <row r="644" ht="12.75" customHeight="1">
      <c r="A644" s="532"/>
      <c r="B644" s="531"/>
      <c r="C644" s="532"/>
      <c r="D644" s="531"/>
      <c r="E644" s="532"/>
    </row>
    <row r="645" ht="12.75" customHeight="1">
      <c r="A645" s="532"/>
      <c r="B645" s="531"/>
      <c r="C645" s="532"/>
      <c r="D645" s="531"/>
      <c r="E645" s="532"/>
    </row>
    <row r="646" ht="12.75" customHeight="1">
      <c r="A646" s="532"/>
      <c r="B646" s="531"/>
      <c r="C646" s="532"/>
      <c r="D646" s="531"/>
      <c r="E646" s="532"/>
    </row>
    <row r="647" ht="12.75" customHeight="1">
      <c r="A647" s="532"/>
      <c r="B647" s="531"/>
      <c r="C647" s="532"/>
      <c r="D647" s="531"/>
      <c r="E647" s="532"/>
    </row>
    <row r="648" ht="12.75" customHeight="1">
      <c r="A648" s="532"/>
      <c r="B648" s="531"/>
      <c r="C648" s="532"/>
      <c r="D648" s="531"/>
      <c r="E648" s="532"/>
    </row>
    <row r="649" ht="12.75" customHeight="1">
      <c r="A649" s="532"/>
      <c r="B649" s="531"/>
      <c r="C649" s="532"/>
      <c r="D649" s="531"/>
      <c r="E649" s="532"/>
    </row>
    <row r="650" ht="12.75" customHeight="1">
      <c r="A650" s="532"/>
      <c r="B650" s="531"/>
      <c r="C650" s="532"/>
      <c r="D650" s="531"/>
      <c r="E650" s="532"/>
    </row>
    <row r="651" ht="12.75" customHeight="1">
      <c r="A651" s="532"/>
      <c r="B651" s="531"/>
      <c r="C651" s="532"/>
      <c r="D651" s="531"/>
      <c r="E651" s="532"/>
    </row>
    <row r="652" ht="12.75" customHeight="1">
      <c r="A652" s="532"/>
      <c r="B652" s="531"/>
      <c r="C652" s="532"/>
      <c r="D652" s="531"/>
      <c r="E652" s="532"/>
    </row>
    <row r="653" ht="12.75" customHeight="1">
      <c r="A653" s="532"/>
      <c r="B653" s="531"/>
      <c r="C653" s="532"/>
      <c r="D653" s="531"/>
      <c r="E653" s="532"/>
    </row>
    <row r="654" ht="12.75" customHeight="1">
      <c r="A654" s="532"/>
      <c r="B654" s="531"/>
      <c r="C654" s="532"/>
      <c r="D654" s="531"/>
      <c r="E654" s="532"/>
    </row>
    <row r="655" ht="12.75" customHeight="1">
      <c r="A655" s="532"/>
      <c r="B655" s="531"/>
      <c r="C655" s="532"/>
      <c r="D655" s="531"/>
      <c r="E655" s="532"/>
    </row>
    <row r="656" ht="12.75" customHeight="1">
      <c r="A656" s="532"/>
      <c r="B656" s="531"/>
      <c r="C656" s="532"/>
      <c r="D656" s="531"/>
      <c r="E656" s="532"/>
    </row>
    <row r="657" ht="12.75" customHeight="1">
      <c r="A657" s="532"/>
      <c r="B657" s="531"/>
      <c r="C657" s="532"/>
      <c r="D657" s="531"/>
      <c r="E657" s="532"/>
    </row>
    <row r="658" ht="12.75" customHeight="1">
      <c r="A658" s="532"/>
      <c r="B658" s="531"/>
      <c r="C658" s="532"/>
      <c r="D658" s="531"/>
      <c r="E658" s="532"/>
    </row>
    <row r="659" ht="12.75" customHeight="1">
      <c r="A659" s="532"/>
      <c r="B659" s="531"/>
      <c r="C659" s="532"/>
      <c r="D659" s="531"/>
      <c r="E659" s="532"/>
    </row>
    <row r="660" ht="12.75" customHeight="1">
      <c r="A660" s="532"/>
      <c r="B660" s="531"/>
      <c r="C660" s="532"/>
      <c r="D660" s="531"/>
      <c r="E660" s="532"/>
    </row>
    <row r="661" ht="12.75" customHeight="1">
      <c r="A661" s="532"/>
      <c r="B661" s="531"/>
      <c r="C661" s="532"/>
      <c r="D661" s="531"/>
      <c r="E661" s="532"/>
    </row>
    <row r="662" ht="12.75" customHeight="1">
      <c r="A662" s="532"/>
      <c r="B662" s="531"/>
      <c r="C662" s="532"/>
      <c r="D662" s="531"/>
      <c r="E662" s="532"/>
    </row>
    <row r="663" ht="12.75" customHeight="1">
      <c r="A663" s="532"/>
      <c r="B663" s="531"/>
      <c r="C663" s="532"/>
      <c r="D663" s="531"/>
      <c r="E663" s="532"/>
    </row>
    <row r="664" ht="12.75" customHeight="1">
      <c r="A664" s="532"/>
      <c r="B664" s="531"/>
      <c r="C664" s="532"/>
      <c r="D664" s="531"/>
      <c r="E664" s="532"/>
    </row>
    <row r="665" ht="12.75" customHeight="1">
      <c r="A665" s="532"/>
      <c r="B665" s="531"/>
      <c r="C665" s="532"/>
      <c r="D665" s="531"/>
      <c r="E665" s="532"/>
    </row>
    <row r="666" ht="12.75" customHeight="1">
      <c r="A666" s="532"/>
      <c r="B666" s="531"/>
      <c r="C666" s="532"/>
      <c r="D666" s="531"/>
      <c r="E666" s="532"/>
    </row>
    <row r="667" ht="12.75" customHeight="1">
      <c r="A667" s="532"/>
      <c r="B667" s="531"/>
      <c r="C667" s="532"/>
      <c r="D667" s="531"/>
      <c r="E667" s="532"/>
    </row>
    <row r="668" ht="12.75" customHeight="1">
      <c r="A668" s="532"/>
      <c r="B668" s="531"/>
      <c r="C668" s="532"/>
      <c r="D668" s="531"/>
      <c r="E668" s="532"/>
    </row>
    <row r="669" ht="12.75" customHeight="1">
      <c r="A669" s="532"/>
      <c r="B669" s="531"/>
      <c r="C669" s="532"/>
      <c r="D669" s="531"/>
      <c r="E669" s="532"/>
    </row>
    <row r="670" ht="12.75" customHeight="1">
      <c r="A670" s="532"/>
      <c r="B670" s="531"/>
      <c r="C670" s="532"/>
      <c r="D670" s="531"/>
      <c r="E670" s="532"/>
    </row>
    <row r="671" ht="12.75" customHeight="1">
      <c r="A671" s="532"/>
      <c r="B671" s="531"/>
      <c r="C671" s="532"/>
      <c r="D671" s="531"/>
      <c r="E671" s="532"/>
    </row>
    <row r="672" ht="12.75" customHeight="1">
      <c r="A672" s="532"/>
      <c r="B672" s="531"/>
      <c r="C672" s="532"/>
      <c r="D672" s="531"/>
      <c r="E672" s="532"/>
    </row>
    <row r="673" ht="12.75" customHeight="1">
      <c r="A673" s="532"/>
      <c r="B673" s="531"/>
      <c r="C673" s="532"/>
      <c r="D673" s="531"/>
      <c r="E673" s="532"/>
    </row>
    <row r="674" ht="12.75" customHeight="1">
      <c r="A674" s="532"/>
      <c r="B674" s="531"/>
      <c r="C674" s="532"/>
      <c r="D674" s="531"/>
      <c r="E674" s="532"/>
    </row>
    <row r="675" ht="12.75" customHeight="1">
      <c r="A675" s="532"/>
      <c r="B675" s="531"/>
      <c r="C675" s="532"/>
      <c r="D675" s="531"/>
      <c r="E675" s="532"/>
    </row>
    <row r="676" ht="12.75" customHeight="1">
      <c r="A676" s="532"/>
      <c r="B676" s="531"/>
      <c r="C676" s="532"/>
      <c r="D676" s="531"/>
      <c r="E676" s="532"/>
    </row>
    <row r="677" ht="12.75" customHeight="1">
      <c r="A677" s="532"/>
      <c r="B677" s="531"/>
      <c r="C677" s="532"/>
      <c r="D677" s="531"/>
      <c r="E677" s="532"/>
    </row>
    <row r="678" ht="12.75" customHeight="1">
      <c r="A678" s="532"/>
      <c r="B678" s="531"/>
      <c r="C678" s="532"/>
      <c r="D678" s="531"/>
      <c r="E678" s="532"/>
    </row>
    <row r="679" ht="12.75" customHeight="1">
      <c r="A679" s="532"/>
      <c r="B679" s="531"/>
      <c r="C679" s="532"/>
      <c r="D679" s="531"/>
      <c r="E679" s="532"/>
    </row>
    <row r="680" ht="12.75" customHeight="1">
      <c r="A680" s="532"/>
      <c r="B680" s="531"/>
      <c r="C680" s="532"/>
      <c r="D680" s="531"/>
      <c r="E680" s="532"/>
    </row>
    <row r="681" ht="12.75" customHeight="1">
      <c r="A681" s="532"/>
      <c r="B681" s="531"/>
      <c r="C681" s="532"/>
      <c r="D681" s="531"/>
      <c r="E681" s="532"/>
    </row>
    <row r="682" ht="12.75" customHeight="1">
      <c r="A682" s="532"/>
      <c r="B682" s="531"/>
      <c r="C682" s="532"/>
      <c r="D682" s="531"/>
      <c r="E682" s="532"/>
    </row>
    <row r="683" ht="12.75" customHeight="1">
      <c r="A683" s="532"/>
      <c r="B683" s="531"/>
      <c r="C683" s="532"/>
      <c r="D683" s="531"/>
      <c r="E683" s="532"/>
    </row>
    <row r="684" ht="12.75" customHeight="1">
      <c r="A684" s="532"/>
      <c r="B684" s="531"/>
      <c r="C684" s="532"/>
      <c r="D684" s="531"/>
      <c r="E684" s="532"/>
    </row>
    <row r="685" ht="12.75" customHeight="1">
      <c r="A685" s="532"/>
      <c r="B685" s="531"/>
      <c r="C685" s="532"/>
      <c r="D685" s="531"/>
      <c r="E685" s="532"/>
    </row>
    <row r="686" ht="12.75" customHeight="1">
      <c r="A686" s="532"/>
      <c r="B686" s="531"/>
      <c r="C686" s="532"/>
      <c r="D686" s="531"/>
      <c r="E686" s="532"/>
    </row>
    <row r="687" ht="12.75" customHeight="1">
      <c r="A687" s="532"/>
      <c r="B687" s="531"/>
      <c r="C687" s="532"/>
      <c r="D687" s="531"/>
      <c r="E687" s="532"/>
    </row>
    <row r="688" ht="12.75" customHeight="1">
      <c r="A688" s="532"/>
      <c r="B688" s="531"/>
      <c r="C688" s="532"/>
      <c r="D688" s="531"/>
      <c r="E688" s="532"/>
    </row>
    <row r="689" ht="12.75" customHeight="1">
      <c r="A689" s="532"/>
      <c r="B689" s="531"/>
      <c r="C689" s="532"/>
      <c r="D689" s="531"/>
      <c r="E689" s="532"/>
    </row>
    <row r="690" ht="12.75" customHeight="1">
      <c r="A690" s="532"/>
      <c r="B690" s="531"/>
      <c r="C690" s="532"/>
      <c r="D690" s="531"/>
      <c r="E690" s="532"/>
    </row>
    <row r="691" ht="12.75" customHeight="1">
      <c r="A691" s="532"/>
      <c r="B691" s="531"/>
      <c r="C691" s="532"/>
      <c r="D691" s="531"/>
      <c r="E691" s="532"/>
    </row>
    <row r="692" ht="12.75" customHeight="1">
      <c r="A692" s="532"/>
      <c r="B692" s="531"/>
      <c r="C692" s="532"/>
      <c r="D692" s="531"/>
      <c r="E692" s="532"/>
    </row>
    <row r="693" ht="12.75" customHeight="1">
      <c r="A693" s="532"/>
      <c r="B693" s="531"/>
      <c r="C693" s="532"/>
      <c r="D693" s="531"/>
      <c r="E693" s="532"/>
    </row>
    <row r="694" ht="12.75" customHeight="1">
      <c r="A694" s="532"/>
      <c r="B694" s="531"/>
      <c r="C694" s="532"/>
      <c r="D694" s="531"/>
      <c r="E694" s="532"/>
    </row>
    <row r="695" ht="12.75" customHeight="1">
      <c r="A695" s="532"/>
      <c r="B695" s="531"/>
      <c r="C695" s="532"/>
      <c r="D695" s="531"/>
      <c r="E695" s="532"/>
    </row>
    <row r="696" ht="12.75" customHeight="1">
      <c r="A696" s="532"/>
      <c r="B696" s="531"/>
      <c r="C696" s="532"/>
      <c r="D696" s="531"/>
      <c r="E696" s="532"/>
    </row>
    <row r="697" ht="12.75" customHeight="1">
      <c r="A697" s="532"/>
      <c r="B697" s="531"/>
      <c r="C697" s="532"/>
      <c r="D697" s="531"/>
      <c r="E697" s="532"/>
    </row>
    <row r="698" ht="12.75" customHeight="1">
      <c r="A698" s="532"/>
      <c r="B698" s="531"/>
      <c r="C698" s="532"/>
      <c r="D698" s="531"/>
      <c r="E698" s="532"/>
    </row>
    <row r="699" ht="12.75" customHeight="1">
      <c r="A699" s="532"/>
      <c r="B699" s="531"/>
      <c r="C699" s="532"/>
      <c r="D699" s="531"/>
      <c r="E699" s="532"/>
    </row>
    <row r="700" ht="12.75" customHeight="1">
      <c r="A700" s="532"/>
      <c r="B700" s="531"/>
      <c r="C700" s="532"/>
      <c r="D700" s="531"/>
      <c r="E700" s="532"/>
    </row>
    <row r="701" ht="12.75" customHeight="1">
      <c r="A701" s="532"/>
      <c r="B701" s="531"/>
      <c r="C701" s="532"/>
      <c r="D701" s="531"/>
      <c r="E701" s="532"/>
    </row>
    <row r="702" ht="12.75" customHeight="1">
      <c r="A702" s="532"/>
      <c r="B702" s="531"/>
      <c r="C702" s="532"/>
      <c r="D702" s="531"/>
      <c r="E702" s="532"/>
    </row>
    <row r="703" ht="12.75" customHeight="1">
      <c r="A703" s="532"/>
      <c r="B703" s="531"/>
      <c r="C703" s="532"/>
      <c r="D703" s="531"/>
      <c r="E703" s="532"/>
    </row>
    <row r="704" ht="12.75" customHeight="1">
      <c r="A704" s="532"/>
      <c r="B704" s="531"/>
      <c r="C704" s="532"/>
      <c r="D704" s="531"/>
      <c r="E704" s="532"/>
    </row>
    <row r="705" ht="12.75" customHeight="1">
      <c r="A705" s="532"/>
      <c r="B705" s="531"/>
      <c r="C705" s="532"/>
      <c r="D705" s="531"/>
      <c r="E705" s="532"/>
    </row>
    <row r="706" ht="12.75" customHeight="1">
      <c r="A706" s="532"/>
      <c r="B706" s="531"/>
      <c r="C706" s="532"/>
      <c r="D706" s="531"/>
      <c r="E706" s="532"/>
    </row>
    <row r="707" ht="12.75" customHeight="1">
      <c r="A707" s="532"/>
      <c r="B707" s="531"/>
      <c r="C707" s="532"/>
      <c r="D707" s="531"/>
      <c r="E707" s="532"/>
    </row>
    <row r="708" ht="12.75" customHeight="1">
      <c r="A708" s="532"/>
      <c r="B708" s="531"/>
      <c r="C708" s="532"/>
      <c r="D708" s="531"/>
      <c r="E708" s="532"/>
    </row>
    <row r="709" ht="12.75" customHeight="1">
      <c r="A709" s="532"/>
      <c r="B709" s="531"/>
      <c r="C709" s="532"/>
      <c r="D709" s="531"/>
      <c r="E709" s="532"/>
    </row>
    <row r="710" ht="12.75" customHeight="1">
      <c r="A710" s="532"/>
      <c r="B710" s="531"/>
      <c r="C710" s="532"/>
      <c r="D710" s="531"/>
      <c r="E710" s="532"/>
    </row>
    <row r="711" ht="12.75" customHeight="1">
      <c r="A711" s="532"/>
      <c r="B711" s="531"/>
      <c r="C711" s="532"/>
      <c r="D711" s="531"/>
      <c r="E711" s="532"/>
    </row>
    <row r="712" ht="12.75" customHeight="1">
      <c r="A712" s="532"/>
      <c r="B712" s="531"/>
      <c r="C712" s="532"/>
      <c r="D712" s="531"/>
      <c r="E712" s="532"/>
    </row>
    <row r="713" ht="12.75" customHeight="1">
      <c r="A713" s="532"/>
      <c r="B713" s="531"/>
      <c r="C713" s="532"/>
      <c r="D713" s="531"/>
      <c r="E713" s="532"/>
    </row>
    <row r="714" ht="12.75" customHeight="1">
      <c r="A714" s="532"/>
      <c r="B714" s="531"/>
      <c r="C714" s="532"/>
      <c r="D714" s="531"/>
      <c r="E714" s="532"/>
    </row>
    <row r="715" ht="12.75" customHeight="1">
      <c r="A715" s="532"/>
      <c r="B715" s="531"/>
      <c r="C715" s="532"/>
      <c r="D715" s="531"/>
      <c r="E715" s="532"/>
    </row>
    <row r="716" ht="12.75" customHeight="1">
      <c r="A716" s="532"/>
      <c r="B716" s="531"/>
      <c r="C716" s="532"/>
      <c r="D716" s="531"/>
      <c r="E716" s="532"/>
    </row>
    <row r="717" ht="12.75" customHeight="1">
      <c r="A717" s="532"/>
      <c r="B717" s="531"/>
      <c r="C717" s="532"/>
      <c r="D717" s="531"/>
      <c r="E717" s="532"/>
    </row>
    <row r="718" ht="12.75" customHeight="1">
      <c r="A718" s="532"/>
      <c r="B718" s="531"/>
      <c r="C718" s="532"/>
      <c r="D718" s="531"/>
      <c r="E718" s="532"/>
    </row>
    <row r="719" ht="12.75" customHeight="1">
      <c r="A719" s="532"/>
      <c r="B719" s="531"/>
      <c r="C719" s="532"/>
      <c r="D719" s="531"/>
      <c r="E719" s="532"/>
    </row>
    <row r="720" ht="12.75" customHeight="1">
      <c r="A720" s="532"/>
      <c r="B720" s="531"/>
      <c r="C720" s="532"/>
      <c r="D720" s="531"/>
      <c r="E720" s="532"/>
    </row>
    <row r="721" ht="12.75" customHeight="1">
      <c r="A721" s="532"/>
      <c r="B721" s="531"/>
      <c r="C721" s="532"/>
      <c r="D721" s="531"/>
      <c r="E721" s="532"/>
    </row>
    <row r="722" ht="12.75" customHeight="1">
      <c r="A722" s="532"/>
      <c r="B722" s="531"/>
      <c r="C722" s="532"/>
      <c r="D722" s="531"/>
      <c r="E722" s="532"/>
    </row>
    <row r="723" ht="12.75" customHeight="1">
      <c r="A723" s="532"/>
      <c r="B723" s="531"/>
      <c r="C723" s="532"/>
      <c r="D723" s="531"/>
      <c r="E723" s="532"/>
    </row>
    <row r="724" ht="12.75" customHeight="1">
      <c r="A724" s="532"/>
      <c r="B724" s="531"/>
      <c r="C724" s="532"/>
      <c r="D724" s="531"/>
      <c r="E724" s="532"/>
    </row>
    <row r="725" ht="12.75" customHeight="1">
      <c r="A725" s="532"/>
      <c r="B725" s="531"/>
      <c r="C725" s="532"/>
      <c r="D725" s="531"/>
      <c r="E725" s="532"/>
    </row>
    <row r="726" ht="12.75" customHeight="1">
      <c r="A726" s="532"/>
      <c r="B726" s="531"/>
      <c r="C726" s="532"/>
      <c r="D726" s="531"/>
      <c r="E726" s="532"/>
    </row>
    <row r="727" ht="12.75" customHeight="1">
      <c r="A727" s="532"/>
      <c r="B727" s="531"/>
      <c r="C727" s="532"/>
      <c r="D727" s="531"/>
      <c r="E727" s="532"/>
    </row>
    <row r="728" ht="12.75" customHeight="1">
      <c r="A728" s="532"/>
      <c r="B728" s="531"/>
      <c r="C728" s="532"/>
      <c r="D728" s="531"/>
      <c r="E728" s="532"/>
    </row>
    <row r="729" ht="12.75" customHeight="1">
      <c r="A729" s="532"/>
      <c r="B729" s="531"/>
      <c r="C729" s="532"/>
      <c r="D729" s="531"/>
      <c r="E729" s="532"/>
    </row>
    <row r="730" ht="12.75" customHeight="1">
      <c r="A730" s="532"/>
      <c r="B730" s="531"/>
      <c r="C730" s="532"/>
      <c r="D730" s="531"/>
      <c r="E730" s="532"/>
    </row>
    <row r="731" ht="12.75" customHeight="1">
      <c r="A731" s="532"/>
      <c r="B731" s="531"/>
      <c r="C731" s="532"/>
      <c r="D731" s="531"/>
      <c r="E731" s="532"/>
    </row>
    <row r="732" ht="12.75" customHeight="1">
      <c r="A732" s="532"/>
      <c r="B732" s="531"/>
      <c r="C732" s="532"/>
      <c r="D732" s="531"/>
      <c r="E732" s="532"/>
    </row>
    <row r="733" ht="12.75" customHeight="1">
      <c r="A733" s="532"/>
      <c r="B733" s="531"/>
      <c r="C733" s="532"/>
      <c r="D733" s="531"/>
      <c r="E733" s="532"/>
    </row>
    <row r="734" ht="12.75" customHeight="1">
      <c r="A734" s="532"/>
      <c r="B734" s="531"/>
      <c r="C734" s="532"/>
      <c r="D734" s="531"/>
      <c r="E734" s="532"/>
    </row>
    <row r="735" ht="12.75" customHeight="1">
      <c r="A735" s="532"/>
      <c r="B735" s="531"/>
      <c r="C735" s="532"/>
      <c r="D735" s="531"/>
      <c r="E735" s="532"/>
    </row>
    <row r="736" ht="12.75" customHeight="1">
      <c r="A736" s="532"/>
      <c r="B736" s="531"/>
      <c r="C736" s="532"/>
      <c r="D736" s="531"/>
      <c r="E736" s="532"/>
    </row>
    <row r="737" ht="12.75" customHeight="1">
      <c r="A737" s="532"/>
      <c r="B737" s="531"/>
      <c r="C737" s="532"/>
      <c r="D737" s="531"/>
      <c r="E737" s="532"/>
    </row>
    <row r="738" ht="12.75" customHeight="1">
      <c r="A738" s="532"/>
      <c r="B738" s="531"/>
      <c r="C738" s="532"/>
      <c r="D738" s="531"/>
      <c r="E738" s="532"/>
    </row>
    <row r="739" ht="12.75" customHeight="1">
      <c r="A739" s="532"/>
      <c r="B739" s="531"/>
      <c r="C739" s="532"/>
      <c r="D739" s="531"/>
      <c r="E739" s="532"/>
    </row>
    <row r="740" ht="12.75" customHeight="1">
      <c r="A740" s="532"/>
      <c r="B740" s="531"/>
      <c r="C740" s="532"/>
      <c r="D740" s="531"/>
      <c r="E740" s="532"/>
    </row>
    <row r="741" ht="12.75" customHeight="1">
      <c r="A741" s="532"/>
      <c r="B741" s="531"/>
      <c r="C741" s="532"/>
      <c r="D741" s="531"/>
      <c r="E741" s="532"/>
    </row>
    <row r="742" ht="12.75" customHeight="1">
      <c r="A742" s="532"/>
      <c r="B742" s="531"/>
      <c r="C742" s="532"/>
      <c r="D742" s="531"/>
      <c r="E742" s="532"/>
    </row>
    <row r="743" ht="12.75" customHeight="1">
      <c r="A743" s="532"/>
      <c r="B743" s="531"/>
      <c r="C743" s="532"/>
      <c r="D743" s="531"/>
      <c r="E743" s="532"/>
    </row>
    <row r="744" ht="12.75" customHeight="1">
      <c r="A744" s="532"/>
      <c r="B744" s="531"/>
      <c r="C744" s="532"/>
      <c r="D744" s="531"/>
      <c r="E744" s="532"/>
    </row>
    <row r="745" ht="12.75" customHeight="1">
      <c r="A745" s="532"/>
      <c r="B745" s="531"/>
      <c r="C745" s="532"/>
      <c r="D745" s="531"/>
      <c r="E745" s="532"/>
    </row>
    <row r="746" ht="12.75" customHeight="1">
      <c r="A746" s="532"/>
      <c r="B746" s="531"/>
      <c r="C746" s="532"/>
      <c r="D746" s="531"/>
      <c r="E746" s="532"/>
    </row>
    <row r="747" ht="12.75" customHeight="1">
      <c r="A747" s="532"/>
      <c r="B747" s="531"/>
      <c r="C747" s="532"/>
      <c r="D747" s="531"/>
      <c r="E747" s="532"/>
    </row>
    <row r="748" ht="12.75" customHeight="1">
      <c r="A748" s="532"/>
      <c r="B748" s="531"/>
      <c r="C748" s="532"/>
      <c r="D748" s="531"/>
      <c r="E748" s="532"/>
    </row>
    <row r="749" ht="12.75" customHeight="1">
      <c r="A749" s="532"/>
      <c r="B749" s="531"/>
      <c r="C749" s="532"/>
      <c r="D749" s="531"/>
      <c r="E749" s="532"/>
    </row>
    <row r="750" ht="12.75" customHeight="1">
      <c r="A750" s="532"/>
      <c r="B750" s="531"/>
      <c r="C750" s="532"/>
      <c r="D750" s="531"/>
      <c r="E750" s="532"/>
    </row>
    <row r="751" ht="12.75" customHeight="1">
      <c r="A751" s="532"/>
      <c r="B751" s="531"/>
      <c r="C751" s="532"/>
      <c r="D751" s="531"/>
      <c r="E751" s="532"/>
    </row>
    <row r="752" ht="12.75" customHeight="1">
      <c r="A752" s="532"/>
      <c r="B752" s="531"/>
      <c r="C752" s="532"/>
      <c r="D752" s="531"/>
      <c r="E752" s="532"/>
    </row>
    <row r="753" ht="12.75" customHeight="1">
      <c r="A753" s="532"/>
      <c r="B753" s="531"/>
      <c r="C753" s="532"/>
      <c r="D753" s="531"/>
      <c r="E753" s="532"/>
    </row>
    <row r="754" ht="12.75" customHeight="1">
      <c r="A754" s="532"/>
      <c r="B754" s="531"/>
      <c r="C754" s="532"/>
      <c r="D754" s="531"/>
      <c r="E754" s="532"/>
    </row>
    <row r="755" ht="12.75" customHeight="1">
      <c r="A755" s="532"/>
      <c r="B755" s="531"/>
      <c r="C755" s="532"/>
      <c r="D755" s="531"/>
      <c r="E755" s="532"/>
    </row>
    <row r="756" ht="12.75" customHeight="1">
      <c r="A756" s="532"/>
      <c r="B756" s="531"/>
      <c r="C756" s="532"/>
      <c r="D756" s="531"/>
      <c r="E756" s="532"/>
    </row>
    <row r="757" ht="12.75" customHeight="1">
      <c r="A757" s="532"/>
      <c r="B757" s="531"/>
      <c r="C757" s="532"/>
      <c r="D757" s="531"/>
      <c r="E757" s="532"/>
    </row>
    <row r="758" ht="12.75" customHeight="1">
      <c r="A758" s="532"/>
      <c r="B758" s="531"/>
      <c r="C758" s="532"/>
      <c r="D758" s="531"/>
      <c r="E758" s="532"/>
    </row>
    <row r="759" ht="12.75" customHeight="1">
      <c r="A759" s="532"/>
      <c r="B759" s="531"/>
      <c r="C759" s="532"/>
      <c r="D759" s="531"/>
      <c r="E759" s="532"/>
    </row>
    <row r="760" ht="12.75" customHeight="1">
      <c r="A760" s="532"/>
      <c r="B760" s="531"/>
      <c r="C760" s="532"/>
      <c r="D760" s="531"/>
      <c r="E760" s="532"/>
    </row>
    <row r="761" ht="12.75" customHeight="1">
      <c r="A761" s="532"/>
      <c r="B761" s="531"/>
      <c r="C761" s="532"/>
      <c r="D761" s="531"/>
      <c r="E761" s="532"/>
    </row>
    <row r="762" ht="12.75" customHeight="1">
      <c r="A762" s="532"/>
      <c r="B762" s="531"/>
      <c r="C762" s="532"/>
      <c r="D762" s="531"/>
      <c r="E762" s="532"/>
    </row>
    <row r="763" ht="12.75" customHeight="1">
      <c r="A763" s="532"/>
      <c r="B763" s="531"/>
      <c r="C763" s="532"/>
      <c r="D763" s="531"/>
      <c r="E763" s="532"/>
    </row>
    <row r="764" ht="12.75" customHeight="1">
      <c r="A764" s="532"/>
      <c r="B764" s="531"/>
      <c r="C764" s="532"/>
      <c r="D764" s="531"/>
      <c r="E764" s="532"/>
    </row>
    <row r="765" ht="12.75" customHeight="1">
      <c r="A765" s="532"/>
      <c r="B765" s="531"/>
      <c r="C765" s="532"/>
      <c r="D765" s="531"/>
      <c r="E765" s="532"/>
    </row>
    <row r="766" ht="12.75" customHeight="1">
      <c r="A766" s="532"/>
      <c r="B766" s="531"/>
      <c r="C766" s="532"/>
      <c r="D766" s="531"/>
      <c r="E766" s="532"/>
    </row>
    <row r="767" ht="12.75" customHeight="1">
      <c r="A767" s="532"/>
      <c r="B767" s="531"/>
      <c r="C767" s="532"/>
      <c r="D767" s="531"/>
      <c r="E767" s="532"/>
    </row>
    <row r="768" ht="12.75" customHeight="1">
      <c r="A768" s="532"/>
      <c r="B768" s="531"/>
      <c r="C768" s="532"/>
      <c r="D768" s="531"/>
      <c r="E768" s="532"/>
    </row>
    <row r="769" ht="12.75" customHeight="1">
      <c r="A769" s="532"/>
      <c r="B769" s="531"/>
      <c r="C769" s="532"/>
      <c r="D769" s="531"/>
      <c r="E769" s="532"/>
    </row>
    <row r="770" ht="12.75" customHeight="1">
      <c r="A770" s="532"/>
      <c r="B770" s="531"/>
      <c r="C770" s="532"/>
      <c r="D770" s="531"/>
      <c r="E770" s="532"/>
    </row>
    <row r="771" ht="12.75" customHeight="1">
      <c r="A771" s="532"/>
      <c r="B771" s="531"/>
      <c r="C771" s="532"/>
      <c r="D771" s="531"/>
      <c r="E771" s="532"/>
    </row>
    <row r="772" ht="12.75" customHeight="1">
      <c r="A772" s="532"/>
      <c r="B772" s="531"/>
      <c r="C772" s="532"/>
      <c r="D772" s="531"/>
      <c r="E772" s="532"/>
    </row>
    <row r="773" ht="12.75" customHeight="1">
      <c r="A773" s="532"/>
      <c r="B773" s="531"/>
      <c r="C773" s="532"/>
      <c r="D773" s="531"/>
      <c r="E773" s="532"/>
    </row>
    <row r="774" ht="12.75" customHeight="1">
      <c r="A774" s="532"/>
      <c r="B774" s="531"/>
      <c r="C774" s="532"/>
      <c r="D774" s="531"/>
      <c r="E774" s="532"/>
    </row>
    <row r="775" ht="12.75" customHeight="1">
      <c r="A775" s="532"/>
      <c r="B775" s="531"/>
      <c r="C775" s="532"/>
      <c r="D775" s="531"/>
      <c r="E775" s="532"/>
    </row>
    <row r="776" ht="12.75" customHeight="1">
      <c r="A776" s="532"/>
      <c r="B776" s="531"/>
      <c r="C776" s="532"/>
      <c r="D776" s="531"/>
      <c r="E776" s="532"/>
    </row>
    <row r="777" ht="12.75" customHeight="1">
      <c r="A777" s="532"/>
      <c r="B777" s="531"/>
      <c r="C777" s="532"/>
      <c r="D777" s="531"/>
      <c r="E777" s="532"/>
    </row>
    <row r="778" ht="12.75" customHeight="1">
      <c r="A778" s="532"/>
      <c r="B778" s="531"/>
      <c r="C778" s="532"/>
      <c r="D778" s="531"/>
      <c r="E778" s="532"/>
    </row>
    <row r="779" ht="12.75" customHeight="1">
      <c r="A779" s="532"/>
      <c r="B779" s="531"/>
      <c r="C779" s="532"/>
      <c r="D779" s="531"/>
      <c r="E779" s="532"/>
    </row>
    <row r="780" ht="12.75" customHeight="1">
      <c r="A780" s="532"/>
      <c r="B780" s="531"/>
      <c r="C780" s="532"/>
      <c r="D780" s="531"/>
      <c r="E780" s="532"/>
    </row>
    <row r="781" ht="12.75" customHeight="1">
      <c r="A781" s="532"/>
      <c r="B781" s="531"/>
      <c r="C781" s="532"/>
      <c r="D781" s="531"/>
      <c r="E781" s="532"/>
    </row>
    <row r="782" ht="12.75" customHeight="1">
      <c r="A782" s="532"/>
      <c r="B782" s="531"/>
      <c r="C782" s="532"/>
      <c r="D782" s="531"/>
      <c r="E782" s="532"/>
    </row>
    <row r="783" ht="12.75" customHeight="1">
      <c r="A783" s="532"/>
      <c r="B783" s="531"/>
      <c r="C783" s="532"/>
      <c r="D783" s="531"/>
      <c r="E783" s="532"/>
    </row>
    <row r="784" ht="12.75" customHeight="1">
      <c r="A784" s="532"/>
      <c r="B784" s="531"/>
      <c r="C784" s="532"/>
      <c r="D784" s="531"/>
      <c r="E784" s="532"/>
    </row>
    <row r="785" ht="12.75" customHeight="1">
      <c r="A785" s="532"/>
      <c r="B785" s="531"/>
      <c r="C785" s="532"/>
      <c r="D785" s="531"/>
      <c r="E785" s="532"/>
    </row>
    <row r="786" ht="12.75" customHeight="1">
      <c r="A786" s="532"/>
      <c r="B786" s="531"/>
      <c r="C786" s="532"/>
      <c r="D786" s="531"/>
      <c r="E786" s="532"/>
    </row>
    <row r="787" ht="12.75" customHeight="1">
      <c r="A787" s="532"/>
      <c r="B787" s="531"/>
      <c r="C787" s="532"/>
      <c r="D787" s="531"/>
      <c r="E787" s="532"/>
    </row>
    <row r="788" ht="12.75" customHeight="1">
      <c r="A788" s="532"/>
      <c r="B788" s="531"/>
      <c r="C788" s="532"/>
      <c r="D788" s="531"/>
      <c r="E788" s="532"/>
    </row>
    <row r="789" ht="12.75" customHeight="1">
      <c r="A789" s="532"/>
      <c r="B789" s="531"/>
      <c r="C789" s="532"/>
      <c r="D789" s="531"/>
      <c r="E789" s="532"/>
    </row>
    <row r="790" ht="12.75" customHeight="1">
      <c r="A790" s="532"/>
      <c r="B790" s="531"/>
      <c r="C790" s="532"/>
      <c r="D790" s="531"/>
      <c r="E790" s="532"/>
    </row>
    <row r="791" ht="12.75" customHeight="1">
      <c r="A791" s="532"/>
      <c r="B791" s="531"/>
      <c r="C791" s="532"/>
      <c r="D791" s="531"/>
      <c r="E791" s="532"/>
    </row>
    <row r="792" ht="12.75" customHeight="1">
      <c r="A792" s="532"/>
      <c r="B792" s="531"/>
      <c r="C792" s="532"/>
      <c r="D792" s="531"/>
      <c r="E792" s="532"/>
    </row>
    <row r="793" ht="12.75" customHeight="1">
      <c r="A793" s="532"/>
      <c r="B793" s="531"/>
      <c r="C793" s="532"/>
      <c r="D793" s="531"/>
      <c r="E793" s="532"/>
    </row>
    <row r="794" ht="12.75" customHeight="1">
      <c r="A794" s="532"/>
      <c r="B794" s="531"/>
      <c r="C794" s="532"/>
      <c r="D794" s="531"/>
      <c r="E794" s="532"/>
    </row>
    <row r="795" ht="12.75" customHeight="1">
      <c r="A795" s="532"/>
      <c r="B795" s="531"/>
      <c r="C795" s="532"/>
      <c r="D795" s="531"/>
      <c r="E795" s="532"/>
    </row>
    <row r="796" ht="12.75" customHeight="1">
      <c r="A796" s="532"/>
      <c r="B796" s="531"/>
      <c r="C796" s="532"/>
      <c r="D796" s="531"/>
      <c r="E796" s="532"/>
    </row>
    <row r="797" ht="12.75" customHeight="1">
      <c r="A797" s="532"/>
      <c r="B797" s="531"/>
      <c r="C797" s="532"/>
      <c r="D797" s="531"/>
      <c r="E797" s="532"/>
    </row>
    <row r="798" ht="12.75" customHeight="1">
      <c r="A798" s="532"/>
      <c r="B798" s="531"/>
      <c r="C798" s="532"/>
      <c r="D798" s="531"/>
      <c r="E798" s="532"/>
    </row>
    <row r="799" ht="12.75" customHeight="1">
      <c r="A799" s="532"/>
      <c r="B799" s="531"/>
      <c r="C799" s="532"/>
      <c r="D799" s="531"/>
      <c r="E799" s="532"/>
    </row>
    <row r="800" ht="12.75" customHeight="1">
      <c r="A800" s="532"/>
      <c r="B800" s="531"/>
      <c r="C800" s="532"/>
      <c r="D800" s="531"/>
      <c r="E800" s="532"/>
    </row>
    <row r="801" ht="12.75" customHeight="1">
      <c r="A801" s="532"/>
      <c r="B801" s="531"/>
      <c r="C801" s="532"/>
      <c r="D801" s="531"/>
      <c r="E801" s="532"/>
    </row>
    <row r="802" ht="12.75" customHeight="1">
      <c r="A802" s="532"/>
      <c r="B802" s="531"/>
      <c r="C802" s="532"/>
      <c r="D802" s="531"/>
      <c r="E802" s="532"/>
    </row>
    <row r="803" ht="12.75" customHeight="1">
      <c r="A803" s="532"/>
      <c r="B803" s="531"/>
      <c r="C803" s="532"/>
      <c r="D803" s="531"/>
      <c r="E803" s="532"/>
    </row>
    <row r="804" ht="12.75" customHeight="1">
      <c r="A804" s="532"/>
      <c r="B804" s="531"/>
      <c r="C804" s="532"/>
      <c r="D804" s="531"/>
      <c r="E804" s="532"/>
    </row>
    <row r="805" ht="12.75" customHeight="1">
      <c r="A805" s="532"/>
      <c r="B805" s="531"/>
      <c r="C805" s="532"/>
      <c r="D805" s="531"/>
      <c r="E805" s="532"/>
    </row>
    <row r="806" ht="12.75" customHeight="1">
      <c r="A806" s="532"/>
      <c r="B806" s="531"/>
      <c r="C806" s="532"/>
      <c r="D806" s="531"/>
      <c r="E806" s="532"/>
    </row>
    <row r="807" ht="12.75" customHeight="1">
      <c r="A807" s="532"/>
      <c r="B807" s="531"/>
      <c r="C807" s="532"/>
      <c r="D807" s="531"/>
      <c r="E807" s="532"/>
    </row>
    <row r="808" ht="12.75" customHeight="1">
      <c r="A808" s="532"/>
      <c r="B808" s="531"/>
      <c r="C808" s="532"/>
      <c r="D808" s="531"/>
      <c r="E808" s="532"/>
    </row>
    <row r="809" ht="12.75" customHeight="1">
      <c r="A809" s="532"/>
      <c r="B809" s="531"/>
      <c r="C809" s="532"/>
      <c r="D809" s="531"/>
      <c r="E809" s="532"/>
    </row>
    <row r="810" ht="12.75" customHeight="1">
      <c r="A810" s="532"/>
      <c r="B810" s="531"/>
      <c r="C810" s="532"/>
      <c r="D810" s="531"/>
      <c r="E810" s="532"/>
    </row>
    <row r="811" ht="12.75" customHeight="1">
      <c r="A811" s="532"/>
      <c r="B811" s="531"/>
      <c r="C811" s="532"/>
      <c r="D811" s="531"/>
      <c r="E811" s="532"/>
    </row>
    <row r="812" ht="12.75" customHeight="1">
      <c r="A812" s="532"/>
      <c r="B812" s="531"/>
      <c r="C812" s="532"/>
      <c r="D812" s="531"/>
      <c r="E812" s="532"/>
    </row>
    <row r="813" ht="12.75" customHeight="1">
      <c r="A813" s="532"/>
      <c r="B813" s="531"/>
      <c r="C813" s="532"/>
      <c r="D813" s="531"/>
      <c r="E813" s="532"/>
    </row>
    <row r="814" ht="12.75" customHeight="1">
      <c r="A814" s="532"/>
      <c r="B814" s="531"/>
      <c r="C814" s="532"/>
      <c r="D814" s="531"/>
      <c r="E814" s="532"/>
    </row>
    <row r="815" ht="12.75" customHeight="1">
      <c r="A815" s="532"/>
      <c r="B815" s="531"/>
      <c r="C815" s="532"/>
      <c r="D815" s="531"/>
      <c r="E815" s="532"/>
    </row>
    <row r="816" ht="12.75" customHeight="1">
      <c r="A816" s="532"/>
      <c r="B816" s="531"/>
      <c r="C816" s="532"/>
      <c r="D816" s="531"/>
      <c r="E816" s="532"/>
    </row>
    <row r="817" ht="12.75" customHeight="1">
      <c r="A817" s="532"/>
      <c r="B817" s="531"/>
      <c r="C817" s="532"/>
      <c r="D817" s="531"/>
      <c r="E817" s="532"/>
    </row>
    <row r="818" ht="12.75" customHeight="1">
      <c r="A818" s="532"/>
      <c r="B818" s="531"/>
      <c r="C818" s="532"/>
      <c r="D818" s="531"/>
      <c r="E818" s="532"/>
    </row>
    <row r="819" ht="12.75" customHeight="1">
      <c r="A819" s="532"/>
      <c r="B819" s="531"/>
      <c r="C819" s="532"/>
      <c r="D819" s="531"/>
      <c r="E819" s="532"/>
    </row>
    <row r="820" ht="12.75" customHeight="1">
      <c r="A820" s="532"/>
      <c r="B820" s="531"/>
      <c r="C820" s="532"/>
      <c r="D820" s="531"/>
      <c r="E820" s="532"/>
    </row>
    <row r="821" ht="12.75" customHeight="1">
      <c r="A821" s="532"/>
      <c r="B821" s="531"/>
      <c r="C821" s="532"/>
      <c r="D821" s="531"/>
      <c r="E821" s="532"/>
    </row>
    <row r="822" ht="12.75" customHeight="1">
      <c r="A822" s="532"/>
      <c r="B822" s="531"/>
      <c r="C822" s="532"/>
      <c r="D822" s="531"/>
      <c r="E822" s="532"/>
    </row>
    <row r="823" ht="12.75" customHeight="1">
      <c r="A823" s="532"/>
      <c r="B823" s="531"/>
      <c r="C823" s="532"/>
      <c r="D823" s="531"/>
      <c r="E823" s="532"/>
    </row>
    <row r="824" ht="12.75" customHeight="1">
      <c r="A824" s="532"/>
      <c r="B824" s="531"/>
      <c r="C824" s="532"/>
      <c r="D824" s="531"/>
      <c r="E824" s="532"/>
    </row>
    <row r="825" ht="12.75" customHeight="1">
      <c r="A825" s="532"/>
      <c r="B825" s="531"/>
      <c r="C825" s="532"/>
      <c r="D825" s="531"/>
      <c r="E825" s="532"/>
    </row>
    <row r="826" ht="12.75" customHeight="1">
      <c r="A826" s="532"/>
      <c r="B826" s="531"/>
      <c r="C826" s="532"/>
      <c r="D826" s="531"/>
      <c r="E826" s="532"/>
    </row>
    <row r="827" ht="12.75" customHeight="1">
      <c r="A827" s="532"/>
      <c r="B827" s="531"/>
      <c r="C827" s="532"/>
      <c r="D827" s="531"/>
      <c r="E827" s="532"/>
    </row>
    <row r="828" ht="12.75" customHeight="1">
      <c r="A828" s="532"/>
      <c r="B828" s="531"/>
      <c r="C828" s="532"/>
      <c r="D828" s="531"/>
      <c r="E828" s="532"/>
    </row>
    <row r="829" ht="12.75" customHeight="1">
      <c r="A829" s="532"/>
      <c r="B829" s="531"/>
      <c r="C829" s="532"/>
      <c r="D829" s="531"/>
      <c r="E829" s="532"/>
    </row>
    <row r="830" ht="12.75" customHeight="1">
      <c r="A830" s="532"/>
      <c r="B830" s="531"/>
      <c r="C830" s="532"/>
      <c r="D830" s="531"/>
      <c r="E830" s="532"/>
    </row>
    <row r="831" ht="12.75" customHeight="1">
      <c r="A831" s="532"/>
      <c r="B831" s="531"/>
      <c r="C831" s="532"/>
      <c r="D831" s="531"/>
      <c r="E831" s="532"/>
    </row>
    <row r="832" ht="12.75" customHeight="1">
      <c r="A832" s="532"/>
      <c r="B832" s="531"/>
      <c r="C832" s="532"/>
      <c r="D832" s="531"/>
      <c r="E832" s="532"/>
    </row>
    <row r="833" ht="12.75" customHeight="1">
      <c r="A833" s="532"/>
      <c r="B833" s="531"/>
      <c r="C833" s="532"/>
      <c r="D833" s="531"/>
      <c r="E833" s="532"/>
    </row>
    <row r="834" ht="12.75" customHeight="1">
      <c r="A834" s="532"/>
      <c r="B834" s="531"/>
      <c r="C834" s="532"/>
      <c r="D834" s="531"/>
      <c r="E834" s="532"/>
    </row>
    <row r="835" ht="12.75" customHeight="1">
      <c r="A835" s="532"/>
      <c r="B835" s="531"/>
      <c r="C835" s="532"/>
      <c r="D835" s="531"/>
      <c r="E835" s="532"/>
    </row>
    <row r="836" ht="12.75" customHeight="1">
      <c r="A836" s="532"/>
      <c r="B836" s="531"/>
      <c r="C836" s="532"/>
      <c r="D836" s="531"/>
      <c r="E836" s="532"/>
    </row>
    <row r="837" ht="12.75" customHeight="1">
      <c r="A837" s="532"/>
      <c r="B837" s="531"/>
      <c r="C837" s="532"/>
      <c r="D837" s="531"/>
      <c r="E837" s="532"/>
    </row>
    <row r="838" ht="12.75" customHeight="1">
      <c r="A838" s="532"/>
      <c r="B838" s="531"/>
      <c r="C838" s="532"/>
      <c r="D838" s="531"/>
      <c r="E838" s="532"/>
    </row>
    <row r="839" ht="12.75" customHeight="1">
      <c r="A839" s="532"/>
      <c r="B839" s="531"/>
      <c r="C839" s="532"/>
      <c r="D839" s="531"/>
      <c r="E839" s="532"/>
    </row>
    <row r="840" ht="12.75" customHeight="1">
      <c r="A840" s="532"/>
      <c r="B840" s="531"/>
      <c r="C840" s="532"/>
      <c r="D840" s="531"/>
      <c r="E840" s="532"/>
    </row>
    <row r="841" ht="12.75" customHeight="1">
      <c r="A841" s="532"/>
      <c r="B841" s="531"/>
      <c r="C841" s="532"/>
      <c r="D841" s="531"/>
      <c r="E841" s="532"/>
    </row>
    <row r="842" ht="12.75" customHeight="1">
      <c r="A842" s="532"/>
      <c r="B842" s="531"/>
      <c r="C842" s="532"/>
      <c r="D842" s="531"/>
      <c r="E842" s="532"/>
    </row>
    <row r="843" ht="12.75" customHeight="1">
      <c r="A843" s="532"/>
      <c r="B843" s="531"/>
      <c r="C843" s="532"/>
      <c r="D843" s="531"/>
      <c r="E843" s="532"/>
    </row>
    <row r="844" ht="12.75" customHeight="1">
      <c r="A844" s="532"/>
      <c r="B844" s="531"/>
      <c r="C844" s="532"/>
      <c r="D844" s="531"/>
      <c r="E844" s="532"/>
    </row>
    <row r="845" ht="12.75" customHeight="1">
      <c r="A845" s="532"/>
      <c r="B845" s="531"/>
      <c r="C845" s="532"/>
      <c r="D845" s="531"/>
      <c r="E845" s="532"/>
    </row>
    <row r="846" ht="12.75" customHeight="1">
      <c r="A846" s="532"/>
      <c r="B846" s="531"/>
      <c r="C846" s="532"/>
      <c r="D846" s="531"/>
      <c r="E846" s="532"/>
    </row>
    <row r="847" ht="12.75" customHeight="1">
      <c r="A847" s="532"/>
      <c r="B847" s="531"/>
      <c r="C847" s="532"/>
      <c r="D847" s="531"/>
      <c r="E847" s="532"/>
    </row>
    <row r="848" ht="12.75" customHeight="1">
      <c r="A848" s="532"/>
      <c r="B848" s="531"/>
      <c r="C848" s="532"/>
      <c r="D848" s="531"/>
      <c r="E848" s="532"/>
    </row>
    <row r="849" ht="12.75" customHeight="1">
      <c r="A849" s="532"/>
      <c r="B849" s="531"/>
      <c r="C849" s="532"/>
      <c r="D849" s="531"/>
      <c r="E849" s="532"/>
    </row>
    <row r="850" ht="12.75" customHeight="1">
      <c r="A850" s="532"/>
      <c r="B850" s="531"/>
      <c r="C850" s="532"/>
      <c r="D850" s="531"/>
      <c r="E850" s="532"/>
    </row>
    <row r="851" ht="12.75" customHeight="1">
      <c r="A851" s="532"/>
      <c r="B851" s="531"/>
      <c r="C851" s="532"/>
      <c r="D851" s="531"/>
      <c r="E851" s="532"/>
    </row>
    <row r="852" ht="12.75" customHeight="1">
      <c r="A852" s="532"/>
      <c r="B852" s="531"/>
      <c r="C852" s="532"/>
      <c r="D852" s="531"/>
      <c r="E852" s="532"/>
    </row>
    <row r="853" ht="12.75" customHeight="1">
      <c r="A853" s="532"/>
      <c r="B853" s="531"/>
      <c r="C853" s="532"/>
      <c r="D853" s="531"/>
      <c r="E853" s="532"/>
    </row>
    <row r="854" ht="12.75" customHeight="1">
      <c r="A854" s="532"/>
      <c r="B854" s="531"/>
      <c r="C854" s="532"/>
      <c r="D854" s="531"/>
      <c r="E854" s="532"/>
    </row>
    <row r="855" ht="12.75" customHeight="1">
      <c r="A855" s="532"/>
      <c r="B855" s="531"/>
      <c r="C855" s="532"/>
      <c r="D855" s="531"/>
      <c r="E855" s="532"/>
    </row>
    <row r="856" ht="12.75" customHeight="1">
      <c r="A856" s="532"/>
      <c r="B856" s="531"/>
      <c r="C856" s="532"/>
      <c r="D856" s="531"/>
      <c r="E856" s="532"/>
    </row>
    <row r="857" ht="12.75" customHeight="1">
      <c r="A857" s="532"/>
      <c r="B857" s="531"/>
      <c r="C857" s="532"/>
      <c r="D857" s="531"/>
      <c r="E857" s="532"/>
    </row>
    <row r="858" ht="12.75" customHeight="1">
      <c r="A858" s="532"/>
      <c r="B858" s="531"/>
      <c r="C858" s="532"/>
      <c r="D858" s="531"/>
      <c r="E858" s="532"/>
    </row>
    <row r="859" ht="12.75" customHeight="1">
      <c r="A859" s="532"/>
      <c r="B859" s="531"/>
      <c r="C859" s="532"/>
      <c r="D859" s="531"/>
      <c r="E859" s="532"/>
    </row>
    <row r="860" ht="12.75" customHeight="1">
      <c r="A860" s="532"/>
      <c r="B860" s="531"/>
      <c r="C860" s="532"/>
      <c r="D860" s="531"/>
      <c r="E860" s="532"/>
    </row>
    <row r="861" ht="12.75" customHeight="1">
      <c r="A861" s="532"/>
      <c r="B861" s="531"/>
      <c r="C861" s="532"/>
      <c r="D861" s="531"/>
      <c r="E861" s="532"/>
    </row>
    <row r="862" ht="12.75" customHeight="1">
      <c r="A862" s="532"/>
      <c r="B862" s="531"/>
      <c r="C862" s="532"/>
      <c r="D862" s="531"/>
      <c r="E862" s="532"/>
    </row>
    <row r="863" ht="12.75" customHeight="1">
      <c r="A863" s="532"/>
      <c r="B863" s="531"/>
      <c r="C863" s="532"/>
      <c r="D863" s="531"/>
      <c r="E863" s="532"/>
    </row>
    <row r="864" ht="12.75" customHeight="1">
      <c r="A864" s="532"/>
      <c r="B864" s="531"/>
      <c r="C864" s="532"/>
      <c r="D864" s="531"/>
      <c r="E864" s="532"/>
    </row>
    <row r="865" ht="12.75" customHeight="1">
      <c r="A865" s="532"/>
      <c r="B865" s="531"/>
      <c r="C865" s="532"/>
      <c r="D865" s="531"/>
      <c r="E865" s="532"/>
    </row>
    <row r="866" ht="12.75" customHeight="1">
      <c r="A866" s="532"/>
      <c r="B866" s="531"/>
      <c r="C866" s="532"/>
      <c r="D866" s="531"/>
      <c r="E866" s="532"/>
    </row>
    <row r="867" ht="12.75" customHeight="1">
      <c r="A867" s="532"/>
      <c r="B867" s="531"/>
      <c r="C867" s="532"/>
      <c r="D867" s="531"/>
      <c r="E867" s="532"/>
    </row>
    <row r="868" ht="12.75" customHeight="1">
      <c r="A868" s="532"/>
      <c r="B868" s="531"/>
      <c r="C868" s="532"/>
      <c r="D868" s="531"/>
      <c r="E868" s="532"/>
    </row>
    <row r="869" ht="12.75" customHeight="1">
      <c r="A869" s="532"/>
      <c r="B869" s="531"/>
      <c r="C869" s="532"/>
      <c r="D869" s="531"/>
      <c r="E869" s="532"/>
    </row>
    <row r="870" ht="12.75" customHeight="1">
      <c r="A870" s="532"/>
      <c r="B870" s="531"/>
      <c r="C870" s="532"/>
      <c r="D870" s="531"/>
      <c r="E870" s="532"/>
    </row>
    <row r="871" ht="12.75" customHeight="1">
      <c r="A871" s="532"/>
      <c r="B871" s="531"/>
      <c r="C871" s="532"/>
      <c r="D871" s="531"/>
      <c r="E871" s="532"/>
    </row>
    <row r="872" ht="12.75" customHeight="1">
      <c r="A872" s="532"/>
      <c r="B872" s="531"/>
      <c r="C872" s="532"/>
      <c r="D872" s="531"/>
      <c r="E872" s="532"/>
    </row>
    <row r="873" ht="12.75" customHeight="1">
      <c r="A873" s="532"/>
      <c r="B873" s="531"/>
      <c r="C873" s="532"/>
      <c r="D873" s="531"/>
      <c r="E873" s="532"/>
    </row>
    <row r="874" ht="12.75" customHeight="1">
      <c r="A874" s="532"/>
      <c r="B874" s="531"/>
      <c r="C874" s="532"/>
      <c r="D874" s="531"/>
      <c r="E874" s="532"/>
    </row>
    <row r="875" ht="12.75" customHeight="1">
      <c r="A875" s="532"/>
      <c r="B875" s="531"/>
      <c r="C875" s="532"/>
      <c r="D875" s="531"/>
      <c r="E875" s="532"/>
    </row>
    <row r="876" ht="12.75" customHeight="1">
      <c r="A876" s="532"/>
      <c r="B876" s="531"/>
      <c r="C876" s="532"/>
      <c r="D876" s="531"/>
      <c r="E876" s="532"/>
    </row>
    <row r="877" ht="12.75" customHeight="1">
      <c r="A877" s="532"/>
      <c r="B877" s="531"/>
      <c r="C877" s="532"/>
      <c r="D877" s="531"/>
      <c r="E877" s="532"/>
    </row>
    <row r="878" ht="12.75" customHeight="1">
      <c r="A878" s="532"/>
      <c r="B878" s="531"/>
      <c r="C878" s="532"/>
      <c r="D878" s="531"/>
      <c r="E878" s="532"/>
    </row>
    <row r="879" ht="12.75" customHeight="1">
      <c r="A879" s="532"/>
      <c r="B879" s="531"/>
      <c r="C879" s="532"/>
      <c r="D879" s="531"/>
      <c r="E879" s="532"/>
    </row>
    <row r="880" ht="12.75" customHeight="1">
      <c r="A880" s="532"/>
      <c r="B880" s="531"/>
      <c r="C880" s="532"/>
      <c r="D880" s="531"/>
      <c r="E880" s="532"/>
    </row>
    <row r="881" ht="12.75" customHeight="1">
      <c r="A881" s="532"/>
      <c r="B881" s="531"/>
      <c r="C881" s="532"/>
      <c r="D881" s="531"/>
      <c r="E881" s="532"/>
    </row>
    <row r="882" ht="12.75" customHeight="1">
      <c r="A882" s="532"/>
      <c r="B882" s="531"/>
      <c r="C882" s="532"/>
      <c r="D882" s="531"/>
      <c r="E882" s="532"/>
    </row>
    <row r="883" ht="12.75" customHeight="1">
      <c r="A883" s="532"/>
      <c r="B883" s="531"/>
      <c r="C883" s="532"/>
      <c r="D883" s="531"/>
      <c r="E883" s="532"/>
    </row>
    <row r="884" ht="12.75" customHeight="1">
      <c r="A884" s="532"/>
      <c r="B884" s="531"/>
      <c r="C884" s="532"/>
      <c r="D884" s="531"/>
      <c r="E884" s="532"/>
    </row>
    <row r="885" ht="12.75" customHeight="1">
      <c r="A885" s="532"/>
      <c r="B885" s="531"/>
      <c r="C885" s="532"/>
      <c r="D885" s="531"/>
      <c r="E885" s="532"/>
    </row>
    <row r="886" ht="12.75" customHeight="1">
      <c r="A886" s="532"/>
      <c r="B886" s="531"/>
      <c r="C886" s="532"/>
      <c r="D886" s="531"/>
      <c r="E886" s="532"/>
    </row>
    <row r="887" ht="12.75" customHeight="1">
      <c r="A887" s="532"/>
      <c r="B887" s="531"/>
      <c r="C887" s="532"/>
      <c r="D887" s="531"/>
      <c r="E887" s="532"/>
    </row>
    <row r="888" ht="12.75" customHeight="1">
      <c r="A888" s="532"/>
      <c r="B888" s="531"/>
      <c r="C888" s="532"/>
      <c r="D888" s="531"/>
      <c r="E888" s="532"/>
    </row>
    <row r="889" ht="12.75" customHeight="1">
      <c r="A889" s="532"/>
      <c r="B889" s="531"/>
      <c r="C889" s="532"/>
      <c r="D889" s="531"/>
      <c r="E889" s="532"/>
    </row>
    <row r="890" ht="12.75" customHeight="1">
      <c r="A890" s="532"/>
      <c r="B890" s="531"/>
      <c r="C890" s="532"/>
      <c r="D890" s="531"/>
      <c r="E890" s="532"/>
    </row>
    <row r="891" ht="12.75" customHeight="1">
      <c r="A891" s="532"/>
      <c r="B891" s="531"/>
      <c r="C891" s="532"/>
      <c r="D891" s="531"/>
      <c r="E891" s="532"/>
    </row>
    <row r="892" ht="12.75" customHeight="1">
      <c r="A892" s="532"/>
      <c r="B892" s="531"/>
      <c r="C892" s="532"/>
      <c r="D892" s="531"/>
      <c r="E892" s="532"/>
    </row>
    <row r="893" ht="12.75" customHeight="1">
      <c r="A893" s="532"/>
      <c r="B893" s="531"/>
      <c r="C893" s="532"/>
      <c r="D893" s="531"/>
      <c r="E893" s="532"/>
    </row>
    <row r="894" ht="12.75" customHeight="1">
      <c r="A894" s="532"/>
      <c r="B894" s="531"/>
      <c r="C894" s="532"/>
      <c r="D894" s="531"/>
      <c r="E894" s="532"/>
    </row>
    <row r="895" ht="12.75" customHeight="1">
      <c r="A895" s="532"/>
      <c r="B895" s="531"/>
      <c r="C895" s="532"/>
      <c r="D895" s="531"/>
      <c r="E895" s="532"/>
    </row>
    <row r="896" ht="12.75" customHeight="1">
      <c r="A896" s="532"/>
      <c r="B896" s="531"/>
      <c r="C896" s="532"/>
      <c r="D896" s="531"/>
      <c r="E896" s="532"/>
    </row>
    <row r="897" ht="12.75" customHeight="1">
      <c r="A897" s="532"/>
      <c r="B897" s="531"/>
      <c r="C897" s="532"/>
      <c r="D897" s="531"/>
      <c r="E897" s="532"/>
    </row>
    <row r="898" ht="12.75" customHeight="1">
      <c r="A898" s="532"/>
      <c r="B898" s="531"/>
      <c r="C898" s="532"/>
      <c r="D898" s="531"/>
      <c r="E898" s="532"/>
    </row>
    <row r="899" ht="12.75" customHeight="1">
      <c r="A899" s="532"/>
      <c r="B899" s="531"/>
      <c r="C899" s="532"/>
      <c r="D899" s="531"/>
      <c r="E899" s="532"/>
    </row>
    <row r="900" ht="12.75" customHeight="1">
      <c r="A900" s="532"/>
      <c r="B900" s="531"/>
      <c r="C900" s="532"/>
      <c r="D900" s="531"/>
      <c r="E900" s="532"/>
    </row>
    <row r="901" ht="12.75" customHeight="1">
      <c r="A901" s="532"/>
      <c r="B901" s="531"/>
      <c r="C901" s="532"/>
      <c r="D901" s="531"/>
      <c r="E901" s="532"/>
    </row>
    <row r="902" ht="12.75" customHeight="1">
      <c r="A902" s="532"/>
      <c r="B902" s="531"/>
      <c r="C902" s="532"/>
      <c r="D902" s="531"/>
      <c r="E902" s="532"/>
    </row>
    <row r="903" ht="12.75" customHeight="1">
      <c r="A903" s="532"/>
      <c r="B903" s="531"/>
      <c r="C903" s="532"/>
      <c r="D903" s="531"/>
      <c r="E903" s="532"/>
    </row>
    <row r="904" ht="12.75" customHeight="1">
      <c r="A904" s="532"/>
      <c r="B904" s="531"/>
      <c r="C904" s="532"/>
      <c r="D904" s="531"/>
      <c r="E904" s="532"/>
    </row>
    <row r="905" ht="12.75" customHeight="1">
      <c r="A905" s="532"/>
      <c r="B905" s="531"/>
      <c r="C905" s="532"/>
      <c r="D905" s="531"/>
      <c r="E905" s="532"/>
    </row>
    <row r="906" ht="12.75" customHeight="1">
      <c r="A906" s="532"/>
      <c r="B906" s="531"/>
      <c r="C906" s="532"/>
      <c r="D906" s="531"/>
      <c r="E906" s="532"/>
    </row>
    <row r="907" ht="12.75" customHeight="1">
      <c r="A907" s="532"/>
      <c r="B907" s="531"/>
      <c r="C907" s="532"/>
      <c r="D907" s="531"/>
      <c r="E907" s="532"/>
    </row>
    <row r="908" ht="12.75" customHeight="1">
      <c r="A908" s="532"/>
      <c r="B908" s="531"/>
      <c r="C908" s="532"/>
      <c r="D908" s="531"/>
      <c r="E908" s="532"/>
    </row>
    <row r="909" ht="12.75" customHeight="1">
      <c r="A909" s="532"/>
      <c r="B909" s="531"/>
      <c r="C909" s="532"/>
      <c r="D909" s="531"/>
      <c r="E909" s="532"/>
    </row>
    <row r="910" ht="12.75" customHeight="1">
      <c r="A910" s="532"/>
      <c r="B910" s="531"/>
      <c r="C910" s="532"/>
      <c r="D910" s="531"/>
      <c r="E910" s="532"/>
    </row>
    <row r="911" ht="12.75" customHeight="1">
      <c r="A911" s="532"/>
      <c r="B911" s="531"/>
      <c r="C911" s="532"/>
      <c r="D911" s="531"/>
      <c r="E911" s="532"/>
    </row>
    <row r="912" ht="12.75" customHeight="1">
      <c r="A912" s="532"/>
      <c r="B912" s="531"/>
      <c r="C912" s="532"/>
      <c r="D912" s="531"/>
      <c r="E912" s="532"/>
    </row>
    <row r="913" ht="12.75" customHeight="1">
      <c r="A913" s="532"/>
      <c r="B913" s="531"/>
      <c r="C913" s="532"/>
      <c r="D913" s="531"/>
      <c r="E913" s="532"/>
    </row>
    <row r="914" ht="12.75" customHeight="1">
      <c r="A914" s="532"/>
      <c r="B914" s="531"/>
      <c r="C914" s="532"/>
      <c r="D914" s="531"/>
      <c r="E914" s="532"/>
    </row>
    <row r="915" ht="12.75" customHeight="1">
      <c r="A915" s="532"/>
      <c r="B915" s="531"/>
      <c r="C915" s="532"/>
      <c r="D915" s="531"/>
      <c r="E915" s="532"/>
    </row>
    <row r="916" ht="12.75" customHeight="1">
      <c r="A916" s="532"/>
      <c r="B916" s="531"/>
      <c r="C916" s="532"/>
      <c r="D916" s="531"/>
      <c r="E916" s="532"/>
    </row>
    <row r="917" ht="12.75" customHeight="1">
      <c r="A917" s="532"/>
      <c r="B917" s="531"/>
      <c r="C917" s="532"/>
      <c r="D917" s="531"/>
      <c r="E917" s="532"/>
    </row>
    <row r="918" ht="12.75" customHeight="1">
      <c r="A918" s="532"/>
      <c r="B918" s="531"/>
      <c r="C918" s="532"/>
      <c r="D918" s="531"/>
      <c r="E918" s="532"/>
    </row>
    <row r="919" ht="12.75" customHeight="1">
      <c r="A919" s="532"/>
      <c r="B919" s="531"/>
      <c r="C919" s="532"/>
      <c r="D919" s="531"/>
      <c r="E919" s="532"/>
    </row>
    <row r="920" ht="12.75" customHeight="1">
      <c r="A920" s="532"/>
      <c r="B920" s="531"/>
      <c r="C920" s="532"/>
      <c r="D920" s="531"/>
      <c r="E920" s="532"/>
    </row>
    <row r="921" ht="12.75" customHeight="1">
      <c r="A921" s="532"/>
      <c r="B921" s="531"/>
      <c r="C921" s="532"/>
      <c r="D921" s="531"/>
      <c r="E921" s="532"/>
    </row>
    <row r="922" ht="12.75" customHeight="1">
      <c r="A922" s="532"/>
      <c r="B922" s="531"/>
      <c r="C922" s="532"/>
      <c r="D922" s="531"/>
      <c r="E922" s="532"/>
    </row>
    <row r="923" ht="12.75" customHeight="1">
      <c r="A923" s="532"/>
      <c r="B923" s="531"/>
      <c r="C923" s="532"/>
      <c r="D923" s="531"/>
      <c r="E923" s="532"/>
    </row>
    <row r="924" ht="12.75" customHeight="1">
      <c r="A924" s="532"/>
      <c r="B924" s="531"/>
      <c r="C924" s="532"/>
      <c r="D924" s="531"/>
      <c r="E924" s="532"/>
    </row>
    <row r="925" ht="12.75" customHeight="1">
      <c r="A925" s="532"/>
      <c r="B925" s="531"/>
      <c r="C925" s="532"/>
      <c r="D925" s="531"/>
      <c r="E925" s="532"/>
    </row>
    <row r="926" ht="12.75" customHeight="1">
      <c r="A926" s="532"/>
      <c r="B926" s="531"/>
      <c r="C926" s="532"/>
      <c r="D926" s="531"/>
      <c r="E926" s="532"/>
    </row>
    <row r="927" ht="12.75" customHeight="1">
      <c r="A927" s="532"/>
      <c r="B927" s="531"/>
      <c r="C927" s="532"/>
      <c r="D927" s="531"/>
      <c r="E927" s="532"/>
    </row>
    <row r="928" ht="12.75" customHeight="1">
      <c r="A928" s="532"/>
      <c r="B928" s="531"/>
      <c r="C928" s="532"/>
      <c r="D928" s="531"/>
      <c r="E928" s="532"/>
    </row>
    <row r="929" ht="12.75" customHeight="1">
      <c r="A929" s="532"/>
      <c r="B929" s="531"/>
      <c r="C929" s="532"/>
      <c r="D929" s="531"/>
      <c r="E929" s="532"/>
    </row>
    <row r="930" ht="12.75" customHeight="1">
      <c r="A930" s="532"/>
      <c r="B930" s="531"/>
      <c r="C930" s="532"/>
      <c r="D930" s="531"/>
      <c r="E930" s="532"/>
    </row>
    <row r="931" ht="12.75" customHeight="1">
      <c r="A931" s="532"/>
      <c r="B931" s="531"/>
      <c r="C931" s="532"/>
      <c r="D931" s="531"/>
      <c r="E931" s="532"/>
    </row>
    <row r="932" ht="12.75" customHeight="1">
      <c r="A932" s="532"/>
      <c r="B932" s="531"/>
      <c r="C932" s="532"/>
      <c r="D932" s="531"/>
      <c r="E932" s="532"/>
    </row>
    <row r="933" ht="12.75" customHeight="1">
      <c r="A933" s="532"/>
      <c r="B933" s="531"/>
      <c r="C933" s="532"/>
      <c r="D933" s="531"/>
      <c r="E933" s="532"/>
    </row>
    <row r="934" ht="12.75" customHeight="1">
      <c r="A934" s="532"/>
      <c r="B934" s="531"/>
      <c r="C934" s="532"/>
      <c r="D934" s="531"/>
      <c r="E934" s="532"/>
    </row>
    <row r="935" ht="12.75" customHeight="1">
      <c r="A935" s="532"/>
      <c r="B935" s="531"/>
      <c r="C935" s="532"/>
      <c r="D935" s="531"/>
      <c r="E935" s="532"/>
    </row>
    <row r="936" ht="12.75" customHeight="1">
      <c r="A936" s="532"/>
      <c r="B936" s="531"/>
      <c r="C936" s="532"/>
      <c r="D936" s="531"/>
      <c r="E936" s="532"/>
    </row>
    <row r="937" ht="12.75" customHeight="1">
      <c r="A937" s="532"/>
      <c r="B937" s="531"/>
      <c r="C937" s="532"/>
      <c r="D937" s="531"/>
      <c r="E937" s="532"/>
    </row>
    <row r="938" ht="12.75" customHeight="1">
      <c r="A938" s="532"/>
      <c r="B938" s="531"/>
      <c r="C938" s="532"/>
      <c r="D938" s="531"/>
      <c r="E938" s="532"/>
    </row>
    <row r="939" ht="12.75" customHeight="1">
      <c r="A939" s="532"/>
      <c r="B939" s="531"/>
      <c r="C939" s="532"/>
      <c r="D939" s="531"/>
      <c r="E939" s="532"/>
    </row>
    <row r="940" ht="12.75" customHeight="1">
      <c r="A940" s="532"/>
      <c r="B940" s="531"/>
      <c r="C940" s="532"/>
      <c r="D940" s="531"/>
      <c r="E940" s="532"/>
    </row>
    <row r="941" ht="12.75" customHeight="1">
      <c r="A941" s="532"/>
      <c r="B941" s="531"/>
      <c r="C941" s="532"/>
      <c r="D941" s="531"/>
      <c r="E941" s="532"/>
    </row>
    <row r="942" ht="12.75" customHeight="1">
      <c r="A942" s="532"/>
      <c r="B942" s="531"/>
      <c r="C942" s="532"/>
      <c r="D942" s="531"/>
      <c r="E942" s="532"/>
    </row>
    <row r="943" ht="12.75" customHeight="1">
      <c r="A943" s="532"/>
      <c r="B943" s="531"/>
      <c r="C943" s="532"/>
      <c r="D943" s="531"/>
      <c r="E943" s="532"/>
    </row>
    <row r="944" ht="12.75" customHeight="1">
      <c r="A944" s="532"/>
      <c r="B944" s="531"/>
      <c r="C944" s="532"/>
      <c r="D944" s="531"/>
      <c r="E944" s="532"/>
    </row>
    <row r="945" ht="12.75" customHeight="1">
      <c r="A945" s="532"/>
      <c r="B945" s="531"/>
      <c r="C945" s="532"/>
      <c r="D945" s="531"/>
      <c r="E945" s="532"/>
    </row>
    <row r="946" ht="12.75" customHeight="1">
      <c r="A946" s="532"/>
      <c r="B946" s="531"/>
      <c r="C946" s="532"/>
      <c r="D946" s="531"/>
      <c r="E946" s="532"/>
    </row>
    <row r="947" ht="12.75" customHeight="1">
      <c r="A947" s="532"/>
      <c r="B947" s="531"/>
      <c r="C947" s="532"/>
      <c r="D947" s="531"/>
      <c r="E947" s="532"/>
    </row>
    <row r="948" ht="12.75" customHeight="1">
      <c r="A948" s="532"/>
      <c r="B948" s="531"/>
      <c r="C948" s="532"/>
      <c r="D948" s="531"/>
      <c r="E948" s="532"/>
    </row>
    <row r="949" ht="12.75" customHeight="1">
      <c r="A949" s="532"/>
      <c r="B949" s="531"/>
      <c r="C949" s="532"/>
      <c r="D949" s="531"/>
      <c r="E949" s="532"/>
    </row>
    <row r="950" ht="12.75" customHeight="1">
      <c r="A950" s="532"/>
      <c r="B950" s="531"/>
      <c r="C950" s="532"/>
      <c r="D950" s="531"/>
      <c r="E950" s="532"/>
    </row>
    <row r="951" ht="12.75" customHeight="1">
      <c r="A951" s="532"/>
      <c r="B951" s="531"/>
      <c r="C951" s="532"/>
      <c r="D951" s="531"/>
      <c r="E951" s="532"/>
    </row>
    <row r="952" ht="12.75" customHeight="1">
      <c r="A952" s="532"/>
      <c r="B952" s="531"/>
      <c r="C952" s="532"/>
      <c r="D952" s="531"/>
      <c r="E952" s="532"/>
    </row>
    <row r="953" ht="12.75" customHeight="1">
      <c r="A953" s="532"/>
      <c r="B953" s="531"/>
      <c r="C953" s="532"/>
      <c r="D953" s="531"/>
      <c r="E953" s="532"/>
    </row>
    <row r="954" ht="12.75" customHeight="1">
      <c r="A954" s="532"/>
      <c r="B954" s="531"/>
      <c r="C954" s="532"/>
      <c r="D954" s="531"/>
      <c r="E954" s="532"/>
    </row>
    <row r="955" ht="12.75" customHeight="1">
      <c r="A955" s="532"/>
      <c r="B955" s="531"/>
      <c r="C955" s="532"/>
      <c r="D955" s="531"/>
      <c r="E955" s="532"/>
    </row>
    <row r="956" ht="12.75" customHeight="1">
      <c r="A956" s="532"/>
      <c r="B956" s="531"/>
      <c r="C956" s="532"/>
      <c r="D956" s="531"/>
      <c r="E956" s="532"/>
    </row>
    <row r="957" ht="12.75" customHeight="1">
      <c r="A957" s="532"/>
      <c r="B957" s="531"/>
      <c r="C957" s="532"/>
      <c r="D957" s="531"/>
      <c r="E957" s="532"/>
    </row>
    <row r="958" ht="12.75" customHeight="1">
      <c r="A958" s="532"/>
      <c r="B958" s="531"/>
      <c r="C958" s="532"/>
      <c r="D958" s="531"/>
      <c r="E958" s="532"/>
    </row>
    <row r="959" ht="12.75" customHeight="1">
      <c r="A959" s="532"/>
      <c r="B959" s="531"/>
      <c r="C959" s="532"/>
      <c r="D959" s="531"/>
      <c r="E959" s="532"/>
    </row>
    <row r="960" ht="12.75" customHeight="1">
      <c r="A960" s="532"/>
      <c r="B960" s="531"/>
      <c r="C960" s="532"/>
      <c r="D960" s="531"/>
      <c r="E960" s="532"/>
    </row>
    <row r="961" ht="12.75" customHeight="1">
      <c r="A961" s="532"/>
      <c r="B961" s="531"/>
      <c r="C961" s="532"/>
      <c r="D961" s="531"/>
      <c r="E961" s="532"/>
    </row>
    <row r="962" ht="12.75" customHeight="1">
      <c r="A962" s="532"/>
      <c r="B962" s="531"/>
      <c r="C962" s="532"/>
      <c r="D962" s="531"/>
      <c r="E962" s="532"/>
    </row>
    <row r="963" ht="12.75" customHeight="1">
      <c r="A963" s="532"/>
      <c r="B963" s="531"/>
      <c r="C963" s="532"/>
      <c r="D963" s="531"/>
      <c r="E963" s="532"/>
    </row>
    <row r="964" ht="12.75" customHeight="1">
      <c r="A964" s="532"/>
      <c r="B964" s="531"/>
      <c r="C964" s="532"/>
      <c r="D964" s="531"/>
      <c r="E964" s="532"/>
    </row>
    <row r="965" ht="12.75" customHeight="1">
      <c r="A965" s="532"/>
      <c r="B965" s="531"/>
      <c r="C965" s="532"/>
      <c r="D965" s="531"/>
      <c r="E965" s="532"/>
    </row>
    <row r="966" ht="12.75" customHeight="1">
      <c r="A966" s="532"/>
      <c r="B966" s="531"/>
      <c r="C966" s="532"/>
      <c r="D966" s="531"/>
      <c r="E966" s="532"/>
    </row>
    <row r="967" ht="12.75" customHeight="1">
      <c r="A967" s="532"/>
      <c r="B967" s="531"/>
      <c r="C967" s="532"/>
      <c r="D967" s="531"/>
      <c r="E967" s="532"/>
    </row>
    <row r="968" ht="12.75" customHeight="1">
      <c r="A968" s="532"/>
      <c r="B968" s="531"/>
      <c r="C968" s="532"/>
      <c r="D968" s="531"/>
      <c r="E968" s="532"/>
    </row>
    <row r="969" ht="12.75" customHeight="1">
      <c r="A969" s="532"/>
      <c r="B969" s="531"/>
      <c r="C969" s="532"/>
      <c r="D969" s="531"/>
      <c r="E969" s="532"/>
    </row>
    <row r="970" ht="12.75" customHeight="1">
      <c r="A970" s="532"/>
      <c r="B970" s="531"/>
      <c r="C970" s="532"/>
      <c r="D970" s="531"/>
      <c r="E970" s="532"/>
    </row>
    <row r="971" ht="12.75" customHeight="1">
      <c r="A971" s="532"/>
      <c r="B971" s="531"/>
      <c r="C971" s="532"/>
      <c r="D971" s="531"/>
      <c r="E971" s="532"/>
    </row>
    <row r="972" ht="12.75" customHeight="1">
      <c r="A972" s="532"/>
      <c r="B972" s="531"/>
      <c r="C972" s="532"/>
      <c r="D972" s="531"/>
      <c r="E972" s="532"/>
    </row>
    <row r="973" ht="12.75" customHeight="1">
      <c r="A973" s="532"/>
      <c r="B973" s="531"/>
      <c r="C973" s="532"/>
      <c r="D973" s="531"/>
      <c r="E973" s="532"/>
    </row>
    <row r="974" ht="12.75" customHeight="1">
      <c r="A974" s="532"/>
      <c r="B974" s="531"/>
      <c r="C974" s="532"/>
      <c r="D974" s="531"/>
      <c r="E974" s="532"/>
    </row>
    <row r="975" ht="12.75" customHeight="1">
      <c r="A975" s="532"/>
      <c r="B975" s="531"/>
      <c r="C975" s="532"/>
      <c r="D975" s="531"/>
      <c r="E975" s="532"/>
    </row>
    <row r="976" ht="12.75" customHeight="1">
      <c r="A976" s="532"/>
      <c r="B976" s="531"/>
      <c r="C976" s="532"/>
      <c r="D976" s="531"/>
      <c r="E976" s="532"/>
    </row>
    <row r="977" ht="12.75" customHeight="1">
      <c r="A977" s="532"/>
      <c r="B977" s="531"/>
      <c r="C977" s="532"/>
      <c r="D977" s="531"/>
      <c r="E977" s="532"/>
    </row>
    <row r="978" ht="12.75" customHeight="1">
      <c r="A978" s="532"/>
      <c r="B978" s="531"/>
      <c r="C978" s="532"/>
      <c r="D978" s="531"/>
      <c r="E978" s="532"/>
    </row>
    <row r="979" ht="12.75" customHeight="1">
      <c r="A979" s="532"/>
      <c r="B979" s="531"/>
      <c r="C979" s="532"/>
      <c r="D979" s="531"/>
      <c r="E979" s="532"/>
    </row>
    <row r="980" ht="12.75" customHeight="1">
      <c r="A980" s="532"/>
      <c r="B980" s="531"/>
      <c r="C980" s="532"/>
      <c r="D980" s="531"/>
      <c r="E980" s="532"/>
    </row>
    <row r="981" ht="12.75" customHeight="1">
      <c r="A981" s="532"/>
      <c r="B981" s="531"/>
      <c r="C981" s="532"/>
      <c r="D981" s="531"/>
      <c r="E981" s="532"/>
    </row>
    <row r="982" ht="12.75" customHeight="1">
      <c r="A982" s="532"/>
      <c r="B982" s="531"/>
      <c r="C982" s="532"/>
      <c r="D982" s="531"/>
      <c r="E982" s="532"/>
    </row>
    <row r="983" ht="12.75" customHeight="1">
      <c r="A983" s="532"/>
      <c r="B983" s="531"/>
      <c r="C983" s="532"/>
      <c r="D983" s="531"/>
      <c r="E983" s="532"/>
    </row>
    <row r="984" ht="12.75" customHeight="1">
      <c r="A984" s="532"/>
      <c r="B984" s="531"/>
      <c r="C984" s="532"/>
      <c r="D984" s="531"/>
      <c r="E984" s="532"/>
    </row>
    <row r="985" ht="12.75" customHeight="1">
      <c r="A985" s="532"/>
      <c r="B985" s="531"/>
      <c r="C985" s="532"/>
      <c r="D985" s="531"/>
      <c r="E985" s="532"/>
    </row>
    <row r="986" ht="12.75" customHeight="1">
      <c r="A986" s="532"/>
      <c r="B986" s="531"/>
      <c r="C986" s="532"/>
      <c r="D986" s="531"/>
      <c r="E986" s="532"/>
    </row>
    <row r="987" ht="12.75" customHeight="1">
      <c r="A987" s="532"/>
      <c r="B987" s="531"/>
      <c r="C987" s="532"/>
      <c r="D987" s="531"/>
      <c r="E987" s="532"/>
    </row>
    <row r="988" ht="12.75" customHeight="1">
      <c r="A988" s="532"/>
      <c r="B988" s="531"/>
      <c r="C988" s="532"/>
      <c r="D988" s="531"/>
      <c r="E988" s="532"/>
    </row>
    <row r="989" ht="12.75" customHeight="1">
      <c r="A989" s="532"/>
      <c r="B989" s="531"/>
      <c r="C989" s="532"/>
      <c r="D989" s="531"/>
      <c r="E989" s="532"/>
    </row>
    <row r="990" ht="12.75" customHeight="1">
      <c r="A990" s="532"/>
      <c r="B990" s="531"/>
      <c r="C990" s="532"/>
      <c r="D990" s="531"/>
      <c r="E990" s="532"/>
    </row>
    <row r="991" ht="12.75" customHeight="1">
      <c r="A991" s="532"/>
      <c r="B991" s="531"/>
      <c r="C991" s="532"/>
      <c r="D991" s="531"/>
      <c r="E991" s="532"/>
    </row>
    <row r="992" ht="12.75" customHeight="1">
      <c r="A992" s="532"/>
      <c r="B992" s="531"/>
      <c r="C992" s="532"/>
      <c r="D992" s="531"/>
      <c r="E992" s="532"/>
    </row>
    <row r="993" ht="12.75" customHeight="1">
      <c r="A993" s="532"/>
      <c r="B993" s="531"/>
      <c r="C993" s="532"/>
      <c r="D993" s="531"/>
      <c r="E993" s="532"/>
    </row>
    <row r="994" ht="12.75" customHeight="1">
      <c r="A994" s="532"/>
      <c r="B994" s="531"/>
      <c r="C994" s="532"/>
      <c r="D994" s="531"/>
      <c r="E994" s="532"/>
    </row>
    <row r="995" ht="12.75" customHeight="1">
      <c r="A995" s="532"/>
      <c r="B995" s="531"/>
      <c r="C995" s="532"/>
      <c r="D995" s="531"/>
      <c r="E995" s="532"/>
    </row>
    <row r="996" ht="12.75" customHeight="1">
      <c r="A996" s="532"/>
      <c r="B996" s="531"/>
      <c r="C996" s="532"/>
      <c r="D996" s="531"/>
      <c r="E996" s="532"/>
    </row>
    <row r="997" ht="12.75" customHeight="1">
      <c r="A997" s="532"/>
      <c r="B997" s="531"/>
      <c r="C997" s="532"/>
      <c r="D997" s="531"/>
      <c r="E997" s="532"/>
    </row>
    <row r="998" ht="12.75" customHeight="1">
      <c r="A998" s="532"/>
      <c r="B998" s="531"/>
      <c r="C998" s="532"/>
      <c r="D998" s="531"/>
      <c r="E998" s="532"/>
    </row>
    <row r="999" ht="12.75" customHeight="1">
      <c r="A999" s="532"/>
      <c r="B999" s="531"/>
      <c r="C999" s="532"/>
      <c r="D999" s="531"/>
      <c r="E999" s="532"/>
    </row>
    <row r="1000" ht="12.75" customHeight="1">
      <c r="A1000" s="532"/>
      <c r="B1000" s="531"/>
      <c r="C1000" s="532"/>
      <c r="D1000" s="531"/>
      <c r="E1000" s="532"/>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2008-07-23T13:35:02Z</dcterms:created>
  <dc:creator>ra7694</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