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C:\Users\nxa09406\MikeData\ApplicationProcessors\MX6x_series\MMDC\register_programming_aid\"/>
    </mc:Choice>
  </mc:AlternateContent>
  <xr:revisionPtr revIDLastSave="0" documentId="13_ncr:1_{F94CD0B2-34B7-47CB-B405-E10A207E582A}" xr6:coauthVersionLast="45" xr6:coauthVersionMax="45" xr10:uidLastSave="{00000000-0000-0000-0000-000000000000}"/>
  <bookViews>
    <workbookView xWindow="-108" yWindow="-108" windowWidth="23256" windowHeight="12576" activeTab="1" xr2:uid="{00000000-000D-0000-FFFF-FFFF00000000}"/>
  </bookViews>
  <sheets>
    <sheet name="How To Use" sheetId="4" r:id="rId1"/>
    <sheet name="Register Configuration" sheetId="1" r:id="rId2"/>
    <sheet name="RealView .inc file" sheetId="3" r:id="rId3"/>
  </sheets>
  <definedNames>
    <definedName name="Codex_LPDDR1_200MHz.inc" localSheetId="2">'RealView .inc file'!$A$1:$D$219</definedName>
    <definedName name="_xlnm.Print_Area" localSheetId="1">'Register Configuration'!$B$61:$F$104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84" i="1" l="1"/>
  <c r="D148" i="1"/>
  <c r="D123" i="1" l="1"/>
  <c r="C105" i="1" l="1"/>
  <c r="E113" i="1" l="1"/>
  <c r="D58" i="1" l="1"/>
  <c r="A148" i="3"/>
  <c r="E50" i="1" l="1"/>
  <c r="I50" i="1" s="1"/>
  <c r="C58" i="3" s="1"/>
  <c r="A152" i="3" l="1"/>
  <c r="A151" i="3"/>
  <c r="A150" i="3"/>
  <c r="A149" i="3"/>
  <c r="A136" i="3"/>
  <c r="E104" i="1" l="1"/>
  <c r="D55" i="1"/>
  <c r="E55" i="1" s="1"/>
  <c r="D194" i="1"/>
  <c r="E194" i="1" s="1"/>
  <c r="D158" i="1"/>
  <c r="E158" i="1" s="1"/>
  <c r="C22" i="1"/>
  <c r="B68" i="3" s="1"/>
  <c r="C107" i="3"/>
  <c r="C105" i="3"/>
  <c r="B67" i="3"/>
  <c r="B66" i="3"/>
  <c r="D133" i="1"/>
  <c r="E133" i="1" s="1"/>
  <c r="I133" i="1" s="1"/>
  <c r="C128" i="3" s="1"/>
  <c r="C133" i="1"/>
  <c r="E87" i="1"/>
  <c r="C76" i="1"/>
  <c r="E65" i="1"/>
  <c r="E64" i="1"/>
  <c r="E63" i="1"/>
  <c r="E68" i="1"/>
  <c r="E67" i="1"/>
  <c r="E66" i="1"/>
  <c r="E44" i="1"/>
  <c r="E43" i="1"/>
  <c r="E42" i="1"/>
  <c r="E45" i="1"/>
  <c r="E48" i="1"/>
  <c r="E210" i="1"/>
  <c r="E209" i="1"/>
  <c r="E208" i="1"/>
  <c r="E207" i="1"/>
  <c r="E206" i="1"/>
  <c r="E205" i="1"/>
  <c r="E204" i="1"/>
  <c r="E200" i="1"/>
  <c r="E199" i="1"/>
  <c r="E198" i="1"/>
  <c r="E197" i="1"/>
  <c r="E196" i="1"/>
  <c r="E195" i="1"/>
  <c r="E190" i="1"/>
  <c r="E189" i="1"/>
  <c r="E188" i="1"/>
  <c r="E187" i="1"/>
  <c r="E186" i="1"/>
  <c r="E185" i="1"/>
  <c r="E184" i="1"/>
  <c r="E183" i="1"/>
  <c r="E182" i="1"/>
  <c r="E181" i="1"/>
  <c r="E174" i="1"/>
  <c r="E173" i="1"/>
  <c r="E172" i="1"/>
  <c r="E171" i="1"/>
  <c r="E170" i="1"/>
  <c r="E169" i="1"/>
  <c r="E168" i="1"/>
  <c r="E159" i="1"/>
  <c r="E148" i="1"/>
  <c r="E147" i="1"/>
  <c r="E146" i="1"/>
  <c r="E145" i="1"/>
  <c r="E149" i="1"/>
  <c r="E88" i="1"/>
  <c r="E101" i="1"/>
  <c r="E100" i="1"/>
  <c r="E99" i="1"/>
  <c r="E98" i="1"/>
  <c r="E97" i="1"/>
  <c r="E96" i="1"/>
  <c r="E114" i="1"/>
  <c r="E115" i="1"/>
  <c r="B72" i="3"/>
  <c r="E36" i="1"/>
  <c r="I36" i="1" s="1"/>
  <c r="C30" i="3" s="1"/>
  <c r="E46" i="1"/>
  <c r="I46" i="1" s="1"/>
  <c r="C47" i="3" s="1"/>
  <c r="E35" i="1"/>
  <c r="I35" i="1" s="1"/>
  <c r="C29" i="3" s="1"/>
  <c r="E41" i="1"/>
  <c r="I41" i="1" s="1"/>
  <c r="C40" i="3" s="1"/>
  <c r="E40" i="1"/>
  <c r="I40" i="1" s="1"/>
  <c r="C37" i="3" s="1"/>
  <c r="E39" i="1"/>
  <c r="I39" i="1" s="1"/>
  <c r="C36" i="3" s="1"/>
  <c r="E47" i="1"/>
  <c r="I47" i="1" s="1"/>
  <c r="E38" i="1"/>
  <c r="E37" i="1"/>
  <c r="E49" i="1"/>
  <c r="E164" i="1"/>
  <c r="E163" i="1"/>
  <c r="E162" i="1"/>
  <c r="E161" i="1"/>
  <c r="E160" i="1"/>
  <c r="E150" i="1"/>
  <c r="E151" i="1"/>
  <c r="E152" i="1"/>
  <c r="E153" i="1"/>
  <c r="E154" i="1"/>
  <c r="E125" i="1"/>
  <c r="E124" i="1"/>
  <c r="E123" i="1"/>
  <c r="E121" i="1"/>
  <c r="E120" i="1"/>
  <c r="E119" i="1"/>
  <c r="E118" i="1"/>
  <c r="E117" i="1"/>
  <c r="E116" i="1"/>
  <c r="D122" i="1"/>
  <c r="E122" i="1" s="1"/>
  <c r="D59" i="1"/>
  <c r="E59" i="1" s="1"/>
  <c r="E58" i="1"/>
  <c r="D57" i="1"/>
  <c r="E57" i="1" s="1"/>
  <c r="D56" i="1"/>
  <c r="E56" i="1" s="1"/>
  <c r="E54" i="1"/>
  <c r="D129" i="1"/>
  <c r="E129" i="1"/>
  <c r="I129" i="1" s="1"/>
  <c r="C159" i="3" s="1"/>
  <c r="E103" i="1"/>
  <c r="E89" i="1"/>
  <c r="E85" i="1"/>
  <c r="C28" i="1"/>
  <c r="D94" i="1" s="1"/>
  <c r="E73" i="1"/>
  <c r="E72" i="1"/>
  <c r="E71" i="1"/>
  <c r="E74" i="1"/>
  <c r="B64" i="3"/>
  <c r="F170" i="3"/>
  <c r="F171" i="3"/>
  <c r="F172" i="3"/>
  <c r="F173" i="3"/>
  <c r="F174" i="3"/>
  <c r="F175" i="3"/>
  <c r="F176" i="3"/>
  <c r="F177" i="3"/>
  <c r="F178" i="3"/>
  <c r="F179" i="3"/>
  <c r="F180" i="3"/>
  <c r="F181" i="3"/>
  <c r="F182" i="3"/>
  <c r="F183" i="3"/>
  <c r="F184" i="3"/>
  <c r="F185" i="3"/>
  <c r="B69" i="3"/>
  <c r="B63" i="3"/>
  <c r="B65" i="3"/>
  <c r="B71" i="3"/>
  <c r="B70" i="3"/>
  <c r="E82" i="1"/>
  <c r="E70" i="1"/>
  <c r="E69" i="1"/>
  <c r="E102" i="1"/>
  <c r="E81" i="1"/>
  <c r="E83" i="1"/>
  <c r="E80" i="1"/>
  <c r="F167" i="3"/>
  <c r="F169" i="3"/>
  <c r="F168" i="3"/>
  <c r="F92" i="3"/>
  <c r="F90" i="3"/>
  <c r="F91" i="3"/>
  <c r="I113" i="1" l="1"/>
  <c r="I194" i="1"/>
  <c r="C151" i="3" s="1"/>
  <c r="I48" i="1"/>
  <c r="C56" i="3" s="1"/>
  <c r="D106" i="1"/>
  <c r="E106" i="1" s="1"/>
  <c r="D92" i="1"/>
  <c r="D90" i="1"/>
  <c r="E90" i="1" s="1"/>
  <c r="D107" i="1"/>
  <c r="E107" i="1" s="1"/>
  <c r="I42" i="1"/>
  <c r="C42" i="3" s="1"/>
  <c r="I63" i="1"/>
  <c r="C120" i="3" s="1"/>
  <c r="D75" i="1"/>
  <c r="E75" i="1" s="1"/>
  <c r="I37" i="1"/>
  <c r="C33" i="3" s="1"/>
  <c r="I96" i="1"/>
  <c r="C124" i="3" s="1"/>
  <c r="I145" i="1"/>
  <c r="C144" i="3" s="1"/>
  <c r="I158" i="1"/>
  <c r="C145" i="3" s="1"/>
  <c r="I168" i="1"/>
  <c r="C146" i="3" s="1"/>
  <c r="I181" i="1"/>
  <c r="C150" i="3" s="1"/>
  <c r="I204" i="1"/>
  <c r="C152" i="3" s="1"/>
  <c r="D76" i="1"/>
  <c r="E76" i="1" s="1"/>
  <c r="D77" i="1"/>
  <c r="E77" i="1" s="1"/>
  <c r="D84" i="1"/>
  <c r="E84" i="1" s="1"/>
  <c r="D108" i="1"/>
  <c r="E108" i="1" s="1"/>
  <c r="I69" i="1"/>
  <c r="C127" i="3" s="1"/>
  <c r="E78" i="1"/>
  <c r="D86" i="1"/>
  <c r="E86" i="1" s="1"/>
  <c r="C123" i="3"/>
  <c r="F123" i="3" s="1"/>
  <c r="I66" i="1"/>
  <c r="C163" i="3" s="1"/>
  <c r="D105" i="1"/>
  <c r="E105" i="1" s="1"/>
  <c r="I54" i="1"/>
  <c r="C129" i="3" s="1"/>
  <c r="I102" i="1"/>
  <c r="C125" i="3" s="1"/>
  <c r="C41" i="3"/>
  <c r="C50" i="3"/>
  <c r="C49" i="3"/>
  <c r="C48" i="3"/>
  <c r="C51" i="3"/>
  <c r="D79" i="1"/>
  <c r="E79" i="1" s="1"/>
  <c r="E92" i="1"/>
  <c r="C54" i="3"/>
  <c r="C55" i="3"/>
  <c r="C53" i="3"/>
  <c r="E94" i="1"/>
  <c r="C44" i="3" l="1"/>
  <c r="I105" i="1"/>
  <c r="C126" i="3" s="1"/>
  <c r="C43" i="3"/>
  <c r="I81" i="1"/>
  <c r="C121" i="3" s="1"/>
  <c r="I75" i="1"/>
  <c r="C119" i="3" s="1"/>
  <c r="I89" i="1"/>
  <c r="C122" i="3"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dex_LPDDR1_200MHz1.inc" type="6" refreshedVersion="3" deleted="1" background="1" saveData="1">
    <textPr codePage="932" sourceFile="C:\Documents and Settings\mwilliamson\Desktop\Codex_LPDDR1_200MHz.inc.txt" delimited="0">
      <textFields count="4">
        <textField/>
        <textField position="11"/>
        <textField position="24"/>
        <textField position="34"/>
      </textFields>
    </textPr>
  </connection>
</connections>
</file>

<file path=xl/sharedStrings.xml><?xml version="1.0" encoding="utf-8"?>
<sst xmlns="http://schemas.openxmlformats.org/spreadsheetml/2006/main" count="941" uniqueCount="538">
  <si>
    <t>-</t>
  </si>
  <si>
    <t>Notes</t>
  </si>
  <si>
    <t>value from DDR data sheet (ns)</t>
  </si>
  <si>
    <t>Register name</t>
  </si>
  <si>
    <t>Register address</t>
  </si>
  <si>
    <t>Register value (HEX)</t>
  </si>
  <si>
    <t>N/A</t>
  </si>
  <si>
    <t>bit setting within register</t>
  </si>
  <si>
    <t>control bit setting (decimal)</t>
  </si>
  <si>
    <t>Memory type:</t>
  </si>
  <si>
    <t>Memory part number:</t>
  </si>
  <si>
    <t>//=============================================================================</t>
  </si>
  <si>
    <t>WDOG</t>
  </si>
  <si>
    <t>0x30</t>
  </si>
  <si>
    <t>0xffffffff</t>
  </si>
  <si>
    <t>0x00000000</t>
  </si>
  <si>
    <t>0x00009c40</t>
  </si>
  <si>
    <t>0x015dc002</t>
  </si>
  <si>
    <t>0x01010101</t>
  </si>
  <si>
    <t>0x01000202</t>
  </si>
  <si>
    <t>0x00000001</t>
  </si>
  <si>
    <t>0x0000ffff</t>
  </si>
  <si>
    <t>0x02020000</t>
  </si>
  <si>
    <t>0x02020202</t>
  </si>
  <si>
    <t>0x00000202</t>
  </si>
  <si>
    <t>0x01010064</t>
  </si>
  <si>
    <t>0x00010101</t>
  </si>
  <si>
    <t>0x00000064</t>
  </si>
  <si>
    <t>0x02000602</t>
  </si>
  <si>
    <t>0x06120000</t>
  </si>
  <si>
    <t>0x06120612</t>
  </si>
  <si>
    <t>0x01030612</t>
  </si>
  <si>
    <t>0x00010002</t>
  </si>
  <si>
    <t>0x00001000</t>
  </si>
  <si>
    <t>// Disable</t>
  </si>
  <si>
    <t>setmem /32</t>
  </si>
  <si>
    <t>// IOMUX</t>
  </si>
  <si>
    <t>// Revision History</t>
  </si>
  <si>
    <t>// Enable all clocks (they are disabled by ROM code)</t>
  </si>
  <si>
    <t>// DDR Controller Registers</t>
  </si>
  <si>
    <t>Register address (HEX)</t>
  </si>
  <si>
    <t xml:space="preserve">// Row address:    </t>
  </si>
  <si>
    <t xml:space="preserve">// Column address: </t>
  </si>
  <si>
    <t>DSE</t>
  </si>
  <si>
    <t>001</t>
  </si>
  <si>
    <t>010</t>
  </si>
  <si>
    <t>011</t>
  </si>
  <si>
    <t>100</t>
  </si>
  <si>
    <t>101</t>
  </si>
  <si>
    <t>111</t>
  </si>
  <si>
    <t>000: output driver disabled
001: Weakest
...
111: Strongest</t>
  </si>
  <si>
    <t>Binary Setting</t>
  </si>
  <si>
    <t>x8</t>
  </si>
  <si>
    <t>x16</t>
  </si>
  <si>
    <t>x32</t>
  </si>
  <si>
    <t xml:space="preserve">// Clock Freq.: </t>
  </si>
  <si>
    <t>// Manufacturer:</t>
  </si>
  <si>
    <t>// Device Part Number:</t>
  </si>
  <si>
    <t>Device Information</t>
  </si>
  <si>
    <t>// Number of Banks:</t>
  </si>
  <si>
    <t>Clock Cycle Time (ns)</t>
  </si>
  <si>
    <t>Instructions</t>
  </si>
  <si>
    <t>mDDR</t>
  </si>
  <si>
    <t>LPDDR2</t>
  </si>
  <si>
    <t>DDR2</t>
  </si>
  <si>
    <t>Manufacturer:</t>
  </si>
  <si>
    <t>Original Values (Delete Later)</t>
  </si>
  <si>
    <t>Difference?</t>
  </si>
  <si>
    <t xml:space="preserve">Shaded cells may require updating per the DRAM memory data sheet parameters. Certain registers should not need to be modified by the user. If a register is not provided then it is assumed this parameter is not to be changed per the provided initialization script.Certain registers are provided though they may be noted as recommended to not change. </t>
  </si>
  <si>
    <t>Legend</t>
  </si>
  <si>
    <t>On other tabs, this color indicates the cells that are affected by changes on the Register Configuration tab.</t>
  </si>
  <si>
    <t>On Register Configuration Tab, this color indicates the bitfields that would commonly require updating.</t>
  </si>
  <si>
    <t>Clock Cycle or Binary Setting</t>
  </si>
  <si>
    <t>i.MX DSE</t>
  </si>
  <si>
    <t>000</t>
  </si>
  <si>
    <t>Revision History</t>
  </si>
  <si>
    <t>00</t>
  </si>
  <si>
    <t>01</t>
  </si>
  <si>
    <t>10</t>
  </si>
  <si>
    <t>11</t>
  </si>
  <si>
    <t>On Register Configuration Tab, this color indicates the bitfields that may be updated, but should typically not require it.</t>
  </si>
  <si>
    <t>tCKE</t>
  </si>
  <si>
    <t>tCKSRX</t>
  </si>
  <si>
    <t>tCKSRE</t>
  </si>
  <si>
    <t>MDPDC</t>
  </si>
  <si>
    <t>0x021B0004</t>
  </si>
  <si>
    <t>tAOFPD</t>
  </si>
  <si>
    <t>tAONPD</t>
  </si>
  <si>
    <t>tANPD</t>
  </si>
  <si>
    <t>tAXPD</t>
  </si>
  <si>
    <t>tODTLon</t>
  </si>
  <si>
    <t>tODT_idle_off</t>
  </si>
  <si>
    <t>MDOTC</t>
  </si>
  <si>
    <t>0x021B0008</t>
  </si>
  <si>
    <t>MDCFG0</t>
  </si>
  <si>
    <t>0x021B000C</t>
  </si>
  <si>
    <t>tXP</t>
  </si>
  <si>
    <t>tXPDLL</t>
  </si>
  <si>
    <t>tCL</t>
  </si>
  <si>
    <t>tRFC</t>
  </si>
  <si>
    <t>MDCFG1</t>
  </si>
  <si>
    <t>0x021B0010</t>
  </si>
  <si>
    <t xml:space="preserve">tRCD </t>
  </si>
  <si>
    <t xml:space="preserve">tRP </t>
  </si>
  <si>
    <t>tRC</t>
  </si>
  <si>
    <t xml:space="preserve">tRAS </t>
  </si>
  <si>
    <t>tRPA</t>
  </si>
  <si>
    <t xml:space="preserve">tWR </t>
  </si>
  <si>
    <t xml:space="preserve">tMRD </t>
  </si>
  <si>
    <t>tCWL</t>
  </si>
  <si>
    <t>MDCFG2</t>
  </si>
  <si>
    <t>0x021B0014</t>
  </si>
  <si>
    <t>tDLLK</t>
  </si>
  <si>
    <t>0x021B0030</t>
  </si>
  <si>
    <t>MDOR</t>
  </si>
  <si>
    <t>tXPR</t>
  </si>
  <si>
    <t>SDE_to_RST</t>
  </si>
  <si>
    <t>RST_to_CKE</t>
  </si>
  <si>
    <t>MMDC timing parameter (DDR device timing parameter)</t>
  </si>
  <si>
    <t>MMDC Parameter</t>
  </si>
  <si>
    <t xml:space="preserve">Calculated End Address (starting at offset 0x10000000) </t>
  </si>
  <si>
    <t>MDASP</t>
  </si>
  <si>
    <t>0x021B0040</t>
  </si>
  <si>
    <t>Refresh Rate</t>
  </si>
  <si>
    <t>MDREF</t>
  </si>
  <si>
    <t>0x021B0020</t>
  </si>
  <si>
    <t>REFR</t>
  </si>
  <si>
    <t>MMDC Control Parameter</t>
  </si>
  <si>
    <t>MDCTL</t>
  </si>
  <si>
    <t>0x021B0000</t>
  </si>
  <si>
    <t>SDE_0</t>
  </si>
  <si>
    <t>SDE_1</t>
  </si>
  <si>
    <t>ROW</t>
  </si>
  <si>
    <t>COL</t>
  </si>
  <si>
    <t>BL</t>
  </si>
  <si>
    <t>DSIZ</t>
  </si>
  <si>
    <t xml:space="preserve">ROW: number of ROW addresses. NOTE: this value is taken from the Device Information table above. Modify this value only in the table above. </t>
  </si>
  <si>
    <t xml:space="preserve">COL number of Column addresses. NOTE: : this value is taken from the Device Information table above. Modify this value only in the table above. </t>
  </si>
  <si>
    <t xml:space="preserve">DSIZ: Data bus size. Note: this value is taken from the Device Information table above. Modify this value only in the table above. </t>
  </si>
  <si>
    <t>MDMISC</t>
  </si>
  <si>
    <t>0x021B0018</t>
  </si>
  <si>
    <t>CALIB_PER_CS</t>
  </si>
  <si>
    <t>tFAW</t>
  </si>
  <si>
    <t>ADDR_MIRROR</t>
  </si>
  <si>
    <t>LHD</t>
  </si>
  <si>
    <t>WALAT</t>
  </si>
  <si>
    <t>BI_ON</t>
  </si>
  <si>
    <t>LPDDR2_S2</t>
  </si>
  <si>
    <t>MIF3_MODE</t>
  </si>
  <si>
    <t>RALAT</t>
  </si>
  <si>
    <t>DDR_4_BANK</t>
  </si>
  <si>
    <t>DDR_TYPE</t>
  </si>
  <si>
    <t>LPDDR2_2CH</t>
  </si>
  <si>
    <t>RST</t>
  </si>
  <si>
    <t>BI_ON: Bank Interleaving On. Recommend to set this bit to enable bank interleaving; improves performance.</t>
  </si>
  <si>
    <t>Set to 0 for normal operation.</t>
  </si>
  <si>
    <t>MIF3_MODE: Command prediction working mode; set to 0x3 for optimal performance.</t>
  </si>
  <si>
    <t xml:space="preserve">LHD: Latency hiding disable. Recommend to clear this bit to enable latency hiding and improve performance. </t>
  </si>
  <si>
    <t>Mode register programming sequence</t>
  </si>
  <si>
    <t>MDSCR</t>
  </si>
  <si>
    <t>0x021B001C</t>
  </si>
  <si>
    <t>CON_REQ</t>
  </si>
  <si>
    <t>WL_EN</t>
  </si>
  <si>
    <t>CMD</t>
  </si>
  <si>
    <t>CMD_CS</t>
  </si>
  <si>
    <t>CMD_BA</t>
  </si>
  <si>
    <t>CMD: set to 0x3 for load mode register command.</t>
  </si>
  <si>
    <t xml:space="preserve">Determines which chip select command is targetted to. </t>
  </si>
  <si>
    <t>If CS0 populated</t>
  </si>
  <si>
    <t>Configuration request - set to 1 for this operation.</t>
  </si>
  <si>
    <t>Set to 0; not applicable to mode register programming.</t>
  </si>
  <si>
    <t>If CS1 populated</t>
  </si>
  <si>
    <t>Pad Register value (HEX)</t>
  </si>
  <si>
    <t>DDR_INPUT</t>
  </si>
  <si>
    <t>PUS</t>
  </si>
  <si>
    <t>PUE</t>
  </si>
  <si>
    <t>PKE</t>
  </si>
  <si>
    <t>IOMUXC_SW_PAD_CTL_PAD_DRAM_ADDDS</t>
  </si>
  <si>
    <t>IOMUXC_SW_PAD_CTL_GRP_CTLDS</t>
  </si>
  <si>
    <t>DDRMODE_CTL</t>
  </si>
  <si>
    <t>DDRMODE</t>
  </si>
  <si>
    <t>IOMUXC_SW_PAD_CTL_GRP_DDRMODE_CTL</t>
  </si>
  <si>
    <t>DDRPKE</t>
  </si>
  <si>
    <t>IOMUXC_SW_PAD_CTL_GRP_DDRPKE</t>
  </si>
  <si>
    <t>IOMUXC_SW_PAD_CTL_GRP_DDR_TYPE</t>
  </si>
  <si>
    <t>IOMUXC_SW_PAD_CTL_GRP_DDRMODE</t>
  </si>
  <si>
    <t>DDR_SEL</t>
  </si>
  <si>
    <t>DRAM Pad Name</t>
  </si>
  <si>
    <t>Field (i.e. DSE)</t>
  </si>
  <si>
    <t xml:space="preserve">Pull / Keep Enable Field for DDR pads
0: Pull/Keeper Disabled (recommended)
1: Pull/Keeper Enabled </t>
  </si>
  <si>
    <t>0: CMOS mode (recommended)
1: Differential input mode</t>
  </si>
  <si>
    <t>DDR / CMOS Input Mode Field
Select one out of next values for group: DDRMODE (Pads: DRAM_D[63:0]).
0: CMOS input type
1: Differential input mode (recommended)</t>
  </si>
  <si>
    <t>DDR / CMOS Input Mode Field
Select one out of next values for group: DDRMODE_CTL (Pads: DRAM_SDQS0 DRAM_SDQS1
DRAM_SDQS2 DRAM_SDQS3 DRAM_SDQS4 DRAM_SDQS5 DRAM_SDQS6 DRAM_SDQS7).
0: CMOS input type
1: Differential input mode (recommended)</t>
  </si>
  <si>
    <t>Pull Up / Down Config. Field
00: 100KOhm Pull Down (recommended)
01: 47KOhm Pull Up
10: 100KOhm Pull Up
11: 22KOhm Pull Up</t>
  </si>
  <si>
    <t>Pull / Keep Select Field
0: Keeper
1: Pull (recommended)</t>
  </si>
  <si>
    <t>Pull / Keep Enable Field
0: Pull/Keeper Disabled
1: Pull/Keeper Enabled (recommended)</t>
  </si>
  <si>
    <t>Automatically Updated Setting</t>
  </si>
  <si>
    <t>On Register Configuration Tab, this color indicates the bitfields that are updated automatically from setting provided in the "Device Information" table or other cells, and should not be changed manually</t>
  </si>
  <si>
    <t>0x020bc000 =</t>
  </si>
  <si>
    <t>0x020c4068 =</t>
  </si>
  <si>
    <t>0x020c406c =</t>
  </si>
  <si>
    <t>0x020c4070 =</t>
  </si>
  <si>
    <t>0x020c4074 =</t>
  </si>
  <si>
    <t>0x020c4078 =</t>
  </si>
  <si>
    <t>0x020c407c =</t>
  </si>
  <si>
    <t>0x020c4080 =</t>
  </si>
  <si>
    <t xml:space="preserve">// IOMUXC_SW_PAD_CTL_GRP_DDR_TYPE </t>
  </si>
  <si>
    <t xml:space="preserve">// IOMUXC_SW_PAD_CTL_PAD_DRAM_SDQS0 </t>
  </si>
  <si>
    <t xml:space="preserve">// IOMUXC_SW_PAD_CTL_PAD_DRAM_SDQS1 </t>
  </si>
  <si>
    <t xml:space="preserve">// IOMUXC_SW_PAD_CTL_PAD_DRAM_SDQS2 </t>
  </si>
  <si>
    <t xml:space="preserve">// IOMUXC_SW_PAD_CTL_PAD_DRAM_SDQS3 </t>
  </si>
  <si>
    <t>// IOMUXC_SW_PAD_CTL_PAD_DRAM_DQM0</t>
  </si>
  <si>
    <t>// IOMUXC_SW_PAD_CTL_PAD_DRAM_DQM1</t>
  </si>
  <si>
    <t>// IOMUXC_SW_PAD_CTL_PAD_DRAM_DQM2</t>
  </si>
  <si>
    <t>// IOMUXC_SW_PAD_CTL_PAD_DRAM_DQM3</t>
  </si>
  <si>
    <t>// IOMUXC_SW_PAD_CTL_PAD_DRAM_SDCLK_0</t>
  </si>
  <si>
    <t xml:space="preserve">// IOMUXC_SW_PAD_CTL_GRP_B0DS </t>
  </si>
  <si>
    <t xml:space="preserve">// IOMUXC_SW_PAD_CTL_GRP_B1DS </t>
  </si>
  <si>
    <t xml:space="preserve">// IOMUXC_SW_PAD_CTL_GRP_B2DS </t>
  </si>
  <si>
    <t xml:space="preserve">// IOMUXC_SW_PAD_CTL_GRP_B3DS </t>
  </si>
  <si>
    <t xml:space="preserve">// IOMUXC_SW_PAD_CTL_GRP_ADDDS </t>
  </si>
  <si>
    <t xml:space="preserve">// IOMUXC_SW_PAD_CTL_GRP_CTLDS </t>
  </si>
  <si>
    <t xml:space="preserve">// IOMUXC_SW_PAD_CTL_GRP_DDRMODE_CTL </t>
  </si>
  <si>
    <t xml:space="preserve">// IOMUXC_SW_PAD_CTL_GRP_DDRPKE </t>
  </si>
  <si>
    <t>// IOMUXC_SW_PAD_CTL_GRP_DDRMODE</t>
  </si>
  <si>
    <t>1. Important: it is necessary to populate this field with the density in Gbits as it is used later in the CS0_END calculation. This field is cacluated from the previous two fields. The user can also simply type in the total density as well in this field.</t>
  </si>
  <si>
    <t>2. Important, these fields need to be filled out correctly as these values are used later in this tool for register settings.</t>
  </si>
  <si>
    <r>
      <t>Clock Cycle Freq (MHz)</t>
    </r>
    <r>
      <rPr>
        <vertAlign val="superscript"/>
        <sz val="10"/>
        <rFont val="Arial"/>
        <family val="2"/>
      </rPr>
      <t>3</t>
    </r>
  </si>
  <si>
    <r>
      <t>Number of ROW Addresses</t>
    </r>
    <r>
      <rPr>
        <vertAlign val="superscript"/>
        <sz val="10"/>
        <rFont val="Arial"/>
        <family val="2"/>
      </rPr>
      <t>2</t>
    </r>
  </si>
  <si>
    <r>
      <t>Number of COLUMN Addresses</t>
    </r>
    <r>
      <rPr>
        <vertAlign val="superscript"/>
        <sz val="10"/>
        <rFont val="Arial"/>
        <family val="2"/>
      </rPr>
      <t>2</t>
    </r>
  </si>
  <si>
    <r>
      <t>Number of BANKS</t>
    </r>
    <r>
      <rPr>
        <vertAlign val="superscript"/>
        <sz val="10"/>
        <rFont val="Arial"/>
        <family val="2"/>
      </rPr>
      <t>2</t>
    </r>
  </si>
  <si>
    <r>
      <t>Bus Width (input 16, 32, or 64 bits)</t>
    </r>
    <r>
      <rPr>
        <vertAlign val="superscript"/>
        <sz val="10"/>
        <rFont val="Arial"/>
        <family val="2"/>
      </rPr>
      <t>2</t>
    </r>
  </si>
  <si>
    <t xml:space="preserve">// Density per CS in Gb: </t>
  </si>
  <si>
    <t>// Chip Selects used:</t>
  </si>
  <si>
    <t>// Data bus width</t>
  </si>
  <si>
    <t>0x021b081c =</t>
  </si>
  <si>
    <t>0x021b0820 =</t>
  </si>
  <si>
    <t>0x021b0824 =</t>
  </si>
  <si>
    <t>0x021b0828 =</t>
  </si>
  <si>
    <t>0x33333333</t>
  </si>
  <si>
    <t>// DDR_PHY_P0_MPREDQBY0DL3</t>
  </si>
  <si>
    <t>// DDR_PHY_P0_MPREDQBY1DL3</t>
  </si>
  <si>
    <t>// DDR_PHY_P0_MPREDQBY2DL3</t>
  </si>
  <si>
    <t>// DDR_PHY_P0_MPREDQBY3DL3</t>
  </si>
  <si>
    <t>0x021b0018 =</t>
  </si>
  <si>
    <t>// MMDC0_MDMISC</t>
  </si>
  <si>
    <t>0x021b001c =</t>
  </si>
  <si>
    <t>0x021b000c =</t>
  </si>
  <si>
    <t>0x021b0010 =</t>
  </si>
  <si>
    <t>0x021b0014 =</t>
  </si>
  <si>
    <t>0x021b002c =</t>
  </si>
  <si>
    <t>0x021b0030 =</t>
  </si>
  <si>
    <t>0x021b0008 =</t>
  </si>
  <si>
    <t>0x021b0004 =</t>
  </si>
  <si>
    <t>0x021b0040 =</t>
  </si>
  <si>
    <t>0x021b0000 =</t>
  </si>
  <si>
    <t>0x00008000</t>
  </si>
  <si>
    <t>// MMDC0_MDSCR, set the Configuration request bit during MMDC set up</t>
  </si>
  <si>
    <t>// MMDC0_MDCFG0</t>
  </si>
  <si>
    <t>// MMDC0_MDCFG1</t>
  </si>
  <si>
    <t>// MMDC0_MDCFG2</t>
  </si>
  <si>
    <t>// MMDC0_MDOR</t>
  </si>
  <si>
    <t>// MMDC0_MDOTC</t>
  </si>
  <si>
    <t>// MMDC0_MDCTL</t>
  </si>
  <si>
    <t>0x021b0800 =</t>
  </si>
  <si>
    <t>0x021b0020 =</t>
  </si>
  <si>
    <t>0x021b0818 =</t>
  </si>
  <si>
    <t>// MMDC0_MDREF</t>
  </si>
  <si>
    <t>// DDR_PHY_P0_MPODTCTRL</t>
  </si>
  <si>
    <t>//######################################################</t>
  </si>
  <si>
    <t>0x021b083c =</t>
  </si>
  <si>
    <t>0x021b0840 =</t>
  </si>
  <si>
    <t>0x021b0848 =</t>
  </si>
  <si>
    <t>0x021b0850 =</t>
  </si>
  <si>
    <t>// MMDC0_MDSCR, clear this register (especially the configuration bit as initialization is complete)</t>
  </si>
  <si>
    <t>On Register Configuration Tab, an unshaded cell means that the value should remain as is and should not be modified. In these cases, the settings are provided for completeness.</t>
  </si>
  <si>
    <t>How to use the DRAM register programming aid outline</t>
  </si>
  <si>
    <t>Step 1. Obtain the desired DRAM data sheet from the DRAM vendor</t>
  </si>
  <si>
    <t>The following are to be completed in the Register Configuration Worksheet tab.</t>
  </si>
  <si>
    <t xml:space="preserve">Step 2. Update the Device Information table to include the DRAM information and system usage </t>
  </si>
  <si>
    <t>Step 3. Go through the various shaded cells in the spread sheet to update with data from the DRAM sheet (take special note of the “Legend” table to ascertain the meaning of different shaded cells; in many cases, the cells may not need to be updated).</t>
  </si>
  <si>
    <t>The following refers to the RealView .inc file Worksheet tab.  In this tab, the entire DRAM initialization  can be obtained.  This initialization can be used as a RealView include file (see below) or are reference for the bootloader DRAM initialization.</t>
  </si>
  <si>
    <t>Step 4. Go to the RealView .inc file Worksheet tab and copy and paste this into a text document (make sure to rename the document with a “.inc” file ending); this is ready to use with the RealView development system.</t>
  </si>
  <si>
    <t>Step 5. This .inc file can also be used as a reference for other debugger tools and bootloaders.</t>
  </si>
  <si>
    <t>Total DRAM density (Gb)</t>
  </si>
  <si>
    <t>CALIB_PER_CS: determines which chip select the associated calibration is targetted to. Set to 0 for CS0 or 1 for CS1. Note if both chip selects are populated, recommend to set to 0.</t>
  </si>
  <si>
    <t xml:space="preserve">WALAT: Write Additional latency. Recommend to clear these bits. Proper board design should ensure that the DRAM devices are placed close enough to the MMDC to ensure the shew between CLK and DQS is less than 1 cycle. </t>
  </si>
  <si>
    <t>LPDDR2 S2 device type indication.
In case LPDDR2 device is used (DDR_TYPE = 0x1), this bit will indicate whether S2 or S4 device is used.
This bit should be cleared in DDR3 mode
0x0 LPDDR2-S4 device is used.
0x1 LPDDR2-S2 device is used.</t>
  </si>
  <si>
    <t>MDRWD</t>
  </si>
  <si>
    <t>tDAI</t>
  </si>
  <si>
    <t>RTW_SAME</t>
  </si>
  <si>
    <t>WTR_DIFF</t>
  </si>
  <si>
    <t>WTW_DIFF</t>
  </si>
  <si>
    <t>RTW_DIFF</t>
  </si>
  <si>
    <t>RTR_DIFF</t>
  </si>
  <si>
    <t>Read to write delay for the same chip-select. Recommend to leave at default value.</t>
  </si>
  <si>
    <t>Write to read delay for different chip-select.  Recommend to leave at default value.</t>
  </si>
  <si>
    <t>Write to write delay for different chip-select.  Recommend to leave at default value.</t>
  </si>
  <si>
    <t>Read to write delay for different chip-select.  Recommend to leave at default value.</t>
  </si>
  <si>
    <t>Read to read delay for different chip-select.  Recommend to leave at default value.</t>
  </si>
  <si>
    <t>0x021B002C</t>
  </si>
  <si>
    <t>0x021B0038</t>
  </si>
  <si>
    <t>MDCFG3LP</t>
  </si>
  <si>
    <t>RC_LP</t>
  </si>
  <si>
    <t>tRCD_LP</t>
  </si>
  <si>
    <t>tRPpb_LP</t>
  </si>
  <si>
    <t>tRPab_LP</t>
  </si>
  <si>
    <t>tCKE - CKE minimum pulse width. Obtain this value from DRAM data sheet.</t>
  </si>
  <si>
    <t>tRFC - Refresh command to Active or Refresh command time. Obtain this value from DRAM data sheet.</t>
  </si>
  <si>
    <t>tXS (tXSR)</t>
  </si>
  <si>
    <t>tFAW - Four Active Window (all banks). Obtain this value from DRAM data sheet.</t>
  </si>
  <si>
    <t>tRAS - Active to Precharge command period (same bank). Obtain this value from DRAM data sheet.</t>
  </si>
  <si>
    <t>tWR - WRITE recovery time (same bank). Obtain this value from DRAM data sheet.</t>
  </si>
  <si>
    <t>CS0_END (Channel 0)</t>
  </si>
  <si>
    <t xml:space="preserve">Note: DO NOT change the values directly in these cells, instead, program the Density of each DDR device and number of devices in the cells at the top of the page. End Address is calculated from cells above: Density of each DDR device multiplies by the number of devices per chip select, then add offset of 256MB.  Note that the total DDR density on CS0 is offset by 0x8000000, which is the starting address of the CS0 memory region.  Hence the CS0_END is the sum of the DDR density on CS0 with offset 0x80000000. </t>
  </si>
  <si>
    <t xml:space="preserve">Note: Only the first channel is shown being programmed. If a 2 channel device is used, the second channel </t>
  </si>
  <si>
    <t>should be programmed exactly the same as the first channel hence the values for the second channel are simply copied from the first.</t>
  </si>
  <si>
    <t>Order of programming: MR1, MR2, MR3 (MR63 and MR10 are hard coded and whose values do not change).</t>
  </si>
  <si>
    <t>MR1: nWR (for AP)</t>
  </si>
  <si>
    <t>MR1: WC</t>
  </si>
  <si>
    <t>MR1: BT</t>
  </si>
  <si>
    <t>MR1: BL</t>
  </si>
  <si>
    <t>MR_ADDR</t>
  </si>
  <si>
    <t>CMD_BA - keep as 0 since mode register addr is configured in MR_ADDR</t>
  </si>
  <si>
    <t>MR2: RL &amp; WL</t>
  </si>
  <si>
    <t>MR3: DS</t>
  </si>
  <si>
    <t>The next work sheet shows the option for programming the 2nd channel device.</t>
  </si>
  <si>
    <t>burst type, setting of 0 (sequential) is recommended</t>
  </si>
  <si>
    <t>wrap, setting of 0 is recommended</t>
  </si>
  <si>
    <t>Note: Some 2 channel devices may not have 2 chip selects per channel.  However, for completeness, programming for the 2nd chip select is shown.</t>
  </si>
  <si>
    <t>DS, drive strength. 
0000: reserved
0001: 34.3 ohm
0010: 40 ohm
0011: 48 ohm
0100: 60 ohm
etc - refer to device data sheet for other settings</t>
  </si>
  <si>
    <r>
      <t>Number of Chip Selects per channel used</t>
    </r>
    <r>
      <rPr>
        <vertAlign val="superscript"/>
        <sz val="10"/>
        <rFont val="Arial"/>
        <family val="2"/>
      </rPr>
      <t>2</t>
    </r>
  </si>
  <si>
    <t>Density per chip select (Gb):</t>
  </si>
  <si>
    <t>3.Needed for timing calculations</t>
  </si>
  <si>
    <t>This register should to be programmed in two steps:
First the general timings are applied</t>
  </si>
  <si>
    <t>PWDT_1</t>
  </si>
  <si>
    <t>PWDT_0</t>
  </si>
  <si>
    <t>BOTH_CS_PD</t>
  </si>
  <si>
    <t>Parallel power down entry to both chip selects. Leave this set so that both chip selects will enter power down together. For systems with only one chip select, this bit doesn't apply, but keeping it set will allow backwards compatibility with systems with two chip selects.</t>
  </si>
  <si>
    <t>//DDR IO TYPE:</t>
  </si>
  <si>
    <t>//CLOCK:</t>
  </si>
  <si>
    <t>//Control:</t>
  </si>
  <si>
    <t>//Data Strobes:</t>
  </si>
  <si>
    <t>//Data:</t>
  </si>
  <si>
    <t>// Total DRAM density (Gb)</t>
  </si>
  <si>
    <t>// Chan 0</t>
  </si>
  <si>
    <t xml:space="preserve">0x021b085c = </t>
  </si>
  <si>
    <t>//LPDDR2 ZQ params</t>
  </si>
  <si>
    <t>// Calibration setup.</t>
  </si>
  <si>
    <t xml:space="preserve">// </t>
  </si>
  <si>
    <t xml:space="preserve">0x021b08b8 = </t>
  </si>
  <si>
    <t>0x00000800</t>
  </si>
  <si>
    <t>//frc_msr.</t>
  </si>
  <si>
    <t>// read delays, settings recommended by design to remain constant</t>
  </si>
  <si>
    <t>// write delays, settings recommended by design to remain constant</t>
  </si>
  <si>
    <t>0x021b082c =</t>
  </si>
  <si>
    <t>0x021b0830 =</t>
  </si>
  <si>
    <t>0x021b0834 =</t>
  </si>
  <si>
    <t>0x021b0838 =</t>
  </si>
  <si>
    <t>0xf3333333</t>
  </si>
  <si>
    <t>//DDR_PHY_P0 all byte 0 data &amp; dm delayed by 3</t>
  </si>
  <si>
    <t xml:space="preserve">// Read and write data delay, per byte. </t>
  </si>
  <si>
    <t xml:space="preserve">// For optimized DDR operation it is recommended to run mmdc_calibration on your board, and replace 4 delay register assigns with resulted values </t>
  </si>
  <si>
    <t>// Note:</t>
  </si>
  <si>
    <t>// b. The calibration code that runs for both MMDC0 &amp; MMDC1 should be used.</t>
  </si>
  <si>
    <t>// a. DQS gating is not relevant for LPDDR2. DSQ gating calibration section should be skipped, or the following write/read calibration will stall</t>
  </si>
  <si>
    <t>0x0</t>
  </si>
  <si>
    <t>// Calibration setup end</t>
  </si>
  <si>
    <t>// MMDC0_MDPDC</t>
  </si>
  <si>
    <t>0x021b0038 =</t>
  </si>
  <si>
    <t>// MMDC0_MDRWD</t>
  </si>
  <si>
    <t>// MMDC0_MDCFG3LP</t>
  </si>
  <si>
    <t xml:space="preserve">// Chan0 CS0_END </t>
  </si>
  <si>
    <t>// LPDDR2 Mode Register Writes</t>
  </si>
  <si>
    <t>// Channel 0 CS0</t>
  </si>
  <si>
    <t>// Channel 0 CS1</t>
  </si>
  <si>
    <t>// MRW: BA=0 CS=0 MR_ADDR=63 MR_OP=0 (Reset)</t>
  </si>
  <si>
    <t>// MRW: BA=0 CS=0 MR_ADDR=10 MR_OP=0xff (IO calibration, calibration code)</t>
  </si>
  <si>
    <t>// MRW: BA=0 CS=0 MR_ADDR=1  MR_OP=see Register Configuration</t>
  </si>
  <si>
    <t>// MRW: BA=0 CS=0 MR_ADDR=2  MR_OP=see Register Configuration</t>
  </si>
  <si>
    <t>// MRW: BA=0 CS=0 MR_ADDR=3  MR_OP=see Register Configuration</t>
  </si>
  <si>
    <t>// MRW: BA=0 CS=1 MR_ADDR=63 MR_OP=0 (Reset)</t>
  </si>
  <si>
    <t>// MRW: BA=0 CS=1 MR_ADDR=10 MR_OP=0xff (IO calibration, calibration code)</t>
  </si>
  <si>
    <t>// MRW: BA=0 CS=1 MR_ADDR=1  MR_OP=see Register Configuration</t>
  </si>
  <si>
    <t>// MRW: BA=0 CS=1 MR_ADDR=2  MR_OP=see Register Configuration</t>
  </si>
  <si>
    <t>// MRW: BA=0 CS=1 MR_ADDR=3  MR_OP=see Register Configuration</t>
  </si>
  <si>
    <t>0xFF0A8038</t>
  </si>
  <si>
    <t>0x003F8038</t>
  </si>
  <si>
    <t>0xFF0A8030</t>
  </si>
  <si>
    <t>0x003F8030</t>
  </si>
  <si>
    <t>//final DDR setup, before operation start:</t>
  </si>
  <si>
    <t>// DDR_PHY_P0_MPZQHWCTRL, enable one time ZQ calibration</t>
  </si>
  <si>
    <t>// MMDC0_MDPDC now SDCTL power down enabled</t>
  </si>
  <si>
    <t>0x021b0404 =</t>
  </si>
  <si>
    <t xml:space="preserve">0x00011006 </t>
  </si>
  <si>
    <t>//MMDC0_MAPSR ADOPT power down enabled</t>
  </si>
  <si>
    <t>MPRDDLCTL PHY0</t>
  </si>
  <si>
    <t>MPWRDLCTL PHY0</t>
  </si>
  <si>
    <t xml:space="preserve">These parameters are determined after running calibration.  The parameters provided here are from Freescale's development board and will work as initial values. Update these values after running calibration. </t>
  </si>
  <si>
    <t>0x021b0848</t>
  </si>
  <si>
    <t>0x021b0850</t>
  </si>
  <si>
    <t>// MPRDDLCTL PHY0</t>
  </si>
  <si>
    <t>// MPWRDLCTL PHY0</t>
  </si>
  <si>
    <t>// Channel0 - starting address 0x80000000</t>
  </si>
  <si>
    <t>SDCLK_0</t>
  </si>
  <si>
    <t>IOMUXC_SW_PAD_CTL_PAD_DRAM_SDCLK_0</t>
  </si>
  <si>
    <t>SDQS[3:0]</t>
  </si>
  <si>
    <r>
      <t xml:space="preserve">  B0DS, B1DS, B2DS, B3DS
</t>
    </r>
    <r>
      <rPr>
        <sz val="8"/>
        <rFont val="Arial"/>
        <family val="2"/>
      </rPr>
      <t>(DRAM data byte groups)</t>
    </r>
  </si>
  <si>
    <t>DQM[3:0]</t>
  </si>
  <si>
    <t xml:space="preserve"> </t>
  </si>
  <si>
    <t>tCKSRX - This field determines the amount of clock cycles before selfrefresh exit. Obtain this value from DRAM data sheet.  If no value given, then can set to 6 clocks to be safe for 528MHz and a value of 4 for 400MHz.</t>
  </si>
  <si>
    <t>tCKSRE - This field determines the amount of clock cycles after self-refresh entry. Obtain this value from DRAM data sheet.  If no value given, then can set to 6 clocks to be safe for 528MHz and a value of 4 for 400MHz.</t>
  </si>
  <si>
    <t xml:space="preserve">DDR_4_BANK: set to 0 for 8 banks, 1 for 4 banks. NOTE: this value is taken from the Device Information table above. Modify this value only in the table above. </t>
  </si>
  <si>
    <t>nWR - the number of clock cycles which determines when to start internal precharge operation for a write burst with AP enabled. Since this processor does not support auto precharge, this parameter is meaningless.  Keep set as '100' for consistency amoung various DRAM initialization scripts.</t>
  </si>
  <si>
    <t>0xa1390003</t>
  </si>
  <si>
    <t>RL&amp;WL, read latency and write latency. 
0001: RL3/WL1
0010: RL4/WL2
0011: RL5/WL2
0100: RL6/WL3
0101: RL7/WL4
0110: RL8/WL4
All other settings reserved</t>
  </si>
  <si>
    <t xml:space="preserve">SDE_0: Enable Chip Select 0, set to 0 (disable) or 1 (enable). Note that is is assumed that at the least, CS0 will be populated, hence this bit should remain set and not optional to clear. On MX6 series, it does not make sense to populate CS1 if only one chip select is used.  In other words, if only one chip select is to be used, then use CS0. </t>
  </si>
  <si>
    <t>SDE_1: Enable Chip Select 1, set to 0 (disable) or 1 (enable). This bit is optional, based on whether or not two chip selects are populated with DRAM. If only 1 chip select populated, then this bit is cleared meaning that CS1 won't be used (and assumed CS0 is used and it's corresponding bit is set), otherwise, if two chip selects are used, then this bit should be set.</t>
  </si>
  <si>
    <t>// Precharge all command per JEDEC:</t>
  </si>
  <si>
    <t xml:space="preserve">// The memory controller may optionally issue a Precharge-All command </t>
  </si>
  <si>
    <t>// prior to the MRW Reset command.</t>
  </si>
  <si>
    <t>// This is strongly recommended to ensure a robust DRAM initialization</t>
  </si>
  <si>
    <t>0x00008010</t>
  </si>
  <si>
    <t>// precharge-all command CS0</t>
  </si>
  <si>
    <t>0x00008018</t>
  </si>
  <si>
    <t>// precharge-all command CS1</t>
  </si>
  <si>
    <t xml:space="preserve">i.MX6SLL MMDC LPDDR3 Configuration Spreadsheet </t>
  </si>
  <si>
    <t>LPDDR3</t>
  </si>
  <si>
    <t>Micron</t>
  </si>
  <si>
    <t>0x020E0540</t>
  </si>
  <si>
    <t>0x020E0540 =</t>
  </si>
  <si>
    <t>0x020E0534</t>
  </si>
  <si>
    <t>0x020E0534 =</t>
  </si>
  <si>
    <t>0x020E02AC =</t>
  </si>
  <si>
    <t>0x020E02AC</t>
  </si>
  <si>
    <t>0x020E052C</t>
  </si>
  <si>
    <r>
      <t xml:space="preserve">ADDDS
</t>
    </r>
    <r>
      <rPr>
        <sz val="8"/>
        <rFont val="Arial"/>
        <family val="2"/>
      </rPr>
      <t>(Affected pads: DRAM_ADDR00, DRAM_ADDR01, DRAM_ADDR02, DRAM_ADDR03, DRAM_ADDR04,
DRAM_ADDR05, DRAM_ADDR06, DRAM_ADDR07, DRAM_ADDR08, DRAM_ADDR09)</t>
    </r>
  </si>
  <si>
    <t>0x020E0530</t>
  </si>
  <si>
    <t>0x020E0544
0x020E054C
0x020E0554
0x020E0558</t>
  </si>
  <si>
    <t>IOMUXC_SW_PAD_CTL_PAD_DRAM_B[3:0]DS</t>
  </si>
  <si>
    <t>0x020E0548</t>
  </si>
  <si>
    <r>
      <t xml:space="preserve">CTLDS
</t>
    </r>
    <r>
      <rPr>
        <sz val="8"/>
        <rFont val="Arial"/>
        <family val="2"/>
      </rPr>
      <t>(DRAM_CS0_B, DRAM_CS1_B, DRAM_SDCKE0, DRAM_SDCKE1)</t>
    </r>
  </si>
  <si>
    <t>0x020E0550</t>
  </si>
  <si>
    <t>DDR Select Field
Select one out of next values for group: DDR_TYPE for all DDR address, data, and control pads
00: reserved
01: reserved
10: LPDDR2/3 mode (240Ohm driver unit calibration, 240, 120, 80, 60, 48, 40, 34 Ohm drive strengths) at 1.2V power 
11: DDR3 mode (240Ohm driver unit calibration, 240, 120, 80, 60, 48, 40, 34 Ohm drive strengths) at 1.5V power (required for DDR3)</t>
  </si>
  <si>
    <t>0x020E0294
0x020E0298
0x020E029C
0x020E02A0</t>
  </si>
  <si>
    <t>IOMUXC_SW_PAD_CTL_PAD_DRAM_DQM[3:0]</t>
  </si>
  <si>
    <t>IOMUXC_SW_PAD_CTL_PAD_DRAM_SDQS[3:0]</t>
  </si>
  <si>
    <t xml:space="preserve">0x020E02B0
0x020E02B4
0x020E02B8
0x020E02BC
</t>
  </si>
  <si>
    <t>ZQPAD</t>
  </si>
  <si>
    <t>IOMUXC_SW_PAD_CTL_PAD_DRAM_ZQPAD</t>
  </si>
  <si>
    <t>0x020E02C0</t>
  </si>
  <si>
    <t>0x020E0548 =</t>
  </si>
  <si>
    <t>0x020E052C =</t>
  </si>
  <si>
    <t>0x020E0530 =</t>
  </si>
  <si>
    <t>0x020E02B0 =</t>
  </si>
  <si>
    <t>0x020E02B4 =</t>
  </si>
  <si>
    <t>0x020E02B8 =</t>
  </si>
  <si>
    <t>0x020E02BC =</t>
  </si>
  <si>
    <t>0x020E0550 =</t>
  </si>
  <si>
    <t>0x020E0544 =</t>
  </si>
  <si>
    <t>0x020E054C =</t>
  </si>
  <si>
    <t>0x020E0554 =</t>
  </si>
  <si>
    <t>0x020E0558 =</t>
  </si>
  <si>
    <t>0x020E0294 =</t>
  </si>
  <si>
    <t>0x020E0298 =</t>
  </si>
  <si>
    <t>0x020E029C =</t>
  </si>
  <si>
    <t>0x020E02A0 =</t>
  </si>
  <si>
    <t>0x020E02C0 =</t>
  </si>
  <si>
    <t>// IOMUXC_SW_PAD_CTL_PAD_DRAM_ZQPAD</t>
  </si>
  <si>
    <t xml:space="preserve">setmem /32 </t>
  </si>
  <si>
    <t xml:space="preserve">0x021b0890 = </t>
  </si>
  <si>
    <t xml:space="preserve">// [MMDC_MPPDCMPR2] ca bus abs delay </t>
  </si>
  <si>
    <t>0x021B08C0 =</t>
  </si>
  <si>
    <t>0x24922492</t>
  </si>
  <si>
    <t>// [MMDC_MPDCCR] MMDC Duty Cycle Control Register</t>
  </si>
  <si>
    <t>MT52L512M32D2PU-107 WT:B</t>
  </si>
  <si>
    <t>Burst Length. This field determines the burst length of the DDR device.
In LPDDR2 mode the MMDC supports burst length 4.
In LPDDR3 mode the MMDC supports burst length 8.
0 Burst Length 4 is used
1 Burst Length 8 is used</t>
  </si>
  <si>
    <t>Power Down Timer - Chip Select 1. NXP validation determined a value of 5 was the most optimal. For systems with only one chip select with devices on CS0, thess bits don't apply, but keeping them set will allow backwards compatibility with systems with two chip selects.
MX6SLL Update: set to 0</t>
  </si>
  <si>
    <t>Power Down Timer - Chip Select 0. nxp validation determined a value of 5 was the most optimal.  
MX6SLL Update: set to 0</t>
  </si>
  <si>
    <t>Second, apply the power down time out settings.
MX6SLL Update: set PWDT to 0</t>
  </si>
  <si>
    <t>tAOFPD - This field is not relevant in LPDDR2/LPDDR3 mode.</t>
  </si>
  <si>
    <t>tAONPD - This field is not relevant in LPDDR2/LPDDR3 mode.</t>
  </si>
  <si>
    <t>tANPD - This field is not relevant in LPDDR2/LPDDR3 mode.</t>
  </si>
  <si>
    <t>tAXPD - This field is not relevant in LPDDR2/LPDDR3 mode.</t>
  </si>
  <si>
    <t>tODTLon - This field is not relevant in LPDDR2/LPDDR3 mode.</t>
  </si>
  <si>
    <t>tODT_idle_off - This field is not relevant in LPDDR2/LPDDR3 mode.</t>
  </si>
  <si>
    <t>tXS - Exit self refresh to non READ command. In LPDDR2/LPDDR3 it is called tXSR, self-refresh exit to next valid command delay. Obtain this value from DRAM data sheet.</t>
  </si>
  <si>
    <t>tXP - Exit power down with DLL-on to any valid command. In LPDDR2/LPDDR3 mode this field is referred to Exit power-down to next valid command delay. Obtain this value from DRAM data sheet.</t>
  </si>
  <si>
    <t>tXDPLL - This field is not relevant in LPDDR2/LPDDR3 mode. Leave at default.</t>
  </si>
  <si>
    <t>tCL - CAS Read Latency. In LPDDR2/LPDDR3 mode this field is referred to RL. Obtain this value from DRAM data sheet.</t>
  </si>
  <si>
    <t>tRCD - In LPDDR2/LPDDR3 mode this parameter should be configured at tRCD_LP (in MDCFG3LP).</t>
  </si>
  <si>
    <t>tRP - In LPDDR2/LPDDR3 mode this parameter should be configured at tRPpb_LP (in MDCFG3LP).</t>
  </si>
  <si>
    <t>tRCD - In LPDDR2/LPDDR3 mode this parameter should be configured at tRC_LP (in MDCFG3LP).</t>
  </si>
  <si>
    <t>tRPA - In LPDDR2/LPDDR3 mode this parameter should be configured at tRPab_LP (in MDCFG3LP).</t>
  </si>
  <si>
    <t>tMRD - In LPDDR2/LPDDR3 mode this field should be set to max(tMRR,tMRW). Obtain this value from DRAM data sheet.</t>
  </si>
  <si>
    <t>tCWL - In LPDDR2/LPDDR3 mode this field is referred to WL. Obtain this value from DRAM data sheet.</t>
  </si>
  <si>
    <t>tDLLK - This field is not relevant in LPDDR2/LPDDR3 mode.</t>
  </si>
  <si>
    <t>Device auto initialization period.(maximum)
This field is relevant only to LPDDR2/LPDDR3 mode
0x0 1 cycle
0xF9F 4000 cycles (Default, JEDEC value for LPDDR2/LPDDR3, gives 10us at 400MHz clock).
0x1FFF 8192 cycles</t>
  </si>
  <si>
    <t>tXPR - not relevant for LPDDR2/LPDDR3, set to default (190 ck)</t>
  </si>
  <si>
    <t>SDE_to_RST- not relevant for LPDDR2/LPDDR3, set to default (13 ck)</t>
  </si>
  <si>
    <t>RST_to_CKE - LPDDR2/LPDDR3: Idle time ater first CKE assertion. (JEDEC value is 200 us)</t>
  </si>
  <si>
    <t>Active to Active or Refresh command period (same bank).
(This field is valid only for LPDDR2/LPDDR3 memories)
0x0 1 clock
0x1 2 clocks
0x2 3 clocks
0x3E 63 clocks
0x3F Reserved</t>
  </si>
  <si>
    <t>Active command to internal read or write delay time (same bank).
(This field is valid only for LPDDR2/LPDDR3 memories)
0x0 1 clock
0x1 2 clocks
0x2 3 clocks
0xE 15 clocks
0xF Reserved</t>
  </si>
  <si>
    <t>Precharge (per bank) command period (same bank).
(This field is valid only for LPDDR2/LPDDR3 memories)
0x0 1 clock
0x1 2 clocks
0x2 3 clocks
0xE 15 clocks
0xF Reserved</t>
  </si>
  <si>
    <t>Precharge (all banks) command period.
(This field is valid only for LPDDR2/LPDDR3 memories)
0x0 1 clock
0x1 2 clocks
0x2 3 clocks
0xE 15 clocks
0xF Reserved</t>
  </si>
  <si>
    <t>Address mirroring is a feature not supported for LPDDR2/LPDDR3; hence clear this bit to 0.</t>
  </si>
  <si>
    <t>RALAT: Read Additional Latency. This field determines the additional read latency which is added to CAS latency
and internal delays for which the MMDC will retrieve the read data from the internal FIFO. This field is
used to compensate on board/chip delays.
NOTE: In LPDDR2/LPDDR3 mode 2 extra cycles will be added internally in order to compensate tDQSCK delay.
0x0 no additional latency.
0x1 1 cycle additional latency.
0x2 2 cycles additional latency.
0x3 3 cycles additional latency.
0x4 4 cycles additional latency.
0x5 5 cycles additional latency.
0x6 6 cycles additional latency.
0x7 7 cycles additional latency.</t>
  </si>
  <si>
    <t>For LPDDR2/LPDDR3, should always be set to 0</t>
  </si>
  <si>
    <t>MDREF register setting.  Note, only parameter REFR is programmable, all other paramters are fixed as follows: 
REF_CNT: 0x0 (default value, parameter not used)
REF_SEL: 0x0 (choose 64KHz clock to trigger refresh cycle)
START_REF: Manually start refresh cycle, set to 0 for normal operations
The refresh rate is based on the number of refresh cycles required in a 64ms time window.
Note that DDR3 and LPDDR2/LPDDR3 device data sheets differ regarding this parameter, so may special attention when programming this.  
For example, for DDR3, the refresh window is 64ms.  If the required number of refresh commands is 8192, then type in 8192 in the Refresh Rate cell.
In LPDDR2/LPDDR3, the refresh window is often given as 32ms.  Therefore, the REF_SEL field is set to 64KHz, such that we can simply match what the LPDDR2/LPDDR3 data sheet provides as the refresh rate, which in most cases is 8192.</t>
  </si>
  <si>
    <t>LPDDR2/LPDDR3 MR1 Parameter or MMDC MDSCR Parameter</t>
  </si>
  <si>
    <t>In LPDDR2/LPDDR3 this field indicates the MRR/MRW address</t>
  </si>
  <si>
    <t>LPDDR2/LPDDR3 MR2 Parameter or MMDC MDSCR Parameter</t>
  </si>
  <si>
    <t>LPDDR2/LPDDR3 MR3 Parameter or MMDC MDSCR Parameter</t>
  </si>
  <si>
    <t>tRTP (ns)</t>
  </si>
  <si>
    <t xml:space="preserve">         (clk)</t>
  </si>
  <si>
    <t>tWTR  (ns)</t>
  </si>
  <si>
    <t xml:space="preserve">           (clk)</t>
  </si>
  <si>
    <t>tRTP - Internal READ command to Precharge command delay (same bank). Obtain this value from DRAM data sheet. 
Usually the data sheet specifies that the user use the maximum of either a "ns" setting or clock setting, hence input both if provided and the tool will use the maximum of the two.  If either is not provided, simply input a "0" for the unprovided setting.</t>
  </si>
  <si>
    <t>tWTR - Internal WRITE to READ command delay (same bank). Obtain this value from DRAM data sheet.
Usually the data sheet specifies that the user use the maximum of either a "ns" setting or clock setting, hence input both if provided and the tool will use the maximum of the two.  If either is not provided, simply input a "0" for the unprovided setting.</t>
  </si>
  <si>
    <t>tRRD - Active to Active command period (all banks). Obtain this value from DRAM data sheet.
Usually the data sheet specifies that the user use the maximum of either a "ns" setting or clock setting, hence input both if provided and the tool will use the maximum of the two.  If either is not provided, simply input a "0" for the unprovided setting.</t>
  </si>
  <si>
    <t>tRRD (ns)</t>
  </si>
  <si>
    <t>CK1_GATING</t>
  </si>
  <si>
    <t>Gating the secondary DDR clock. When this bit is asserted then the MMDC will disable the secondary
DDR clock
0 MMDC drives two clocks toward the DDR memory
1 MMDC drives only one clock toward the DDR memory (CK0)</t>
  </si>
  <si>
    <t>DDR TYPE. This field determines the type of the external DDR device.
0x0 Reserved
0x1 LPDDR2 device is used.
0x2 Reserved
0x3 LPDDR3 device is used.</t>
  </si>
  <si>
    <t>burst length, setting of 010 (BL=4) is recommended for LPDDR2 and 011 (BL=8) for LPDDR3</t>
  </si>
  <si>
    <t>0x3C3A3C3C</t>
  </si>
  <si>
    <t>0x24293625</t>
  </si>
  <si>
    <t>Based on NXP EVK</t>
  </si>
  <si>
    <t>0x084700c7</t>
  </si>
  <si>
    <t>// comment out this line if not using a debugger</t>
  </si>
  <si>
    <t xml:space="preserve">0x00400000 </t>
  </si>
  <si>
    <t>0xA0000000</t>
  </si>
  <si>
    <t>// Reset read FIFO (perform twice to ensure reset) and PHY0 dqs gating dis</t>
  </si>
  <si>
    <t>//init script for i.MX6SLL LPDDR3</t>
  </si>
  <si>
    <t xml:space="preserve">0.2 - Commented out debugger specific commands in RealView .inc file.
0.1 - Initial
</t>
  </si>
  <si>
    <t>//wait = on</t>
  </si>
  <si>
    <t>//setmem /16</t>
  </si>
  <si>
    <t>// v0.2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</si>
</sst>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Arial"/>
    </font>
    <font>
      <sz val="8"/>
      <name val="Arial"/>
      <family val="2"/>
    </font>
    <font>
      <b/>
      <sz val="10"/>
      <name val="Arial"/>
      <family val="2"/>
    </font>
    <font>
      <sz val="10"/>
      <name val="Arial"/>
      <family val="2"/>
    </font>
    <font>
      <b/>
      <sz val="12"/>
      <name val="Arial"/>
      <family val="2"/>
    </font>
    <font>
      <b/>
      <sz val="24"/>
      <name val="Arial"/>
      <family val="2"/>
    </font>
    <font>
      <b/>
      <sz val="28"/>
      <name val="Arial"/>
      <family val="2"/>
    </font>
    <font>
      <sz val="11"/>
      <color rgb="FF3F3F76"/>
      <name val="Calibri"/>
      <family val="2"/>
      <scheme val="minor"/>
    </font>
    <font>
      <b/>
      <sz val="10"/>
      <color theme="1"/>
      <name val="Arial"/>
      <family val="2"/>
    </font>
    <font>
      <sz val="10"/>
      <color theme="1"/>
      <name val="Arial"/>
      <family val="2"/>
    </font>
    <font>
      <b/>
      <sz val="11"/>
      <color rgb="FFFA7D00"/>
      <name val="Calibri"/>
      <family val="2"/>
      <scheme val="minor"/>
    </font>
    <font>
      <sz val="11"/>
      <name val="Calibri"/>
      <family val="2"/>
      <scheme val="minor"/>
    </font>
    <font>
      <vertAlign val="superscript"/>
      <sz val="10"/>
      <name val="Arial"/>
      <family val="2"/>
    </font>
    <font>
      <sz val="11"/>
      <name val="Calibri"/>
      <family val="2"/>
    </font>
    <font>
      <b/>
      <sz val="22"/>
      <name val="Arial"/>
      <family val="2"/>
    </font>
  </fonts>
  <fills count="14">
    <fill>
      <patternFill patternType="none"/>
    </fill>
    <fill>
      <patternFill patternType="gray125"/>
    </fill>
    <fill>
      <patternFill patternType="solid">
        <fgColor indexed="9"/>
        <bgColor indexed="64"/>
      </patternFill>
    </fill>
    <fill>
      <patternFill patternType="solid">
        <fgColor rgb="FFFFCC99"/>
      </patternFill>
    </fill>
    <fill>
      <patternFill patternType="solid">
        <fgColor rgb="FFFFFF00"/>
        <bgColor indexed="64"/>
      </patternFill>
    </fill>
    <fill>
      <patternFill patternType="solid">
        <fgColor theme="9"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rgb="FFF2F2F2"/>
      </patternFill>
    </fill>
    <fill>
      <patternFill patternType="solid">
        <fgColor theme="0" tint="-0.34998626667073579"/>
        <bgColor indexed="64"/>
      </patternFill>
    </fill>
    <fill>
      <patternFill patternType="solid">
        <fgColor theme="2"/>
        <bgColor indexed="64"/>
      </patternFill>
    </fill>
    <fill>
      <patternFill patternType="solid">
        <fgColor theme="0" tint="-0.249977111117893"/>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rgb="FF7F7F7F"/>
      </left>
      <right style="thin">
        <color rgb="FF7F7F7F"/>
      </right>
      <top style="thin">
        <color rgb="FF7F7F7F"/>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rgb="FF7F7F7F"/>
      </left>
      <right style="thin">
        <color rgb="FF7F7F7F"/>
      </right>
      <top style="medium">
        <color indexed="64"/>
      </top>
      <bottom style="medium">
        <color indexed="64"/>
      </bottom>
      <diagonal/>
    </border>
    <border>
      <left style="thin">
        <color rgb="FF7F7F7F"/>
      </left>
      <right style="medium">
        <color indexed="64"/>
      </right>
      <top style="thin">
        <color rgb="FF7F7F7F"/>
      </top>
      <bottom style="thin">
        <color rgb="FF7F7F7F"/>
      </bottom>
      <diagonal/>
    </border>
    <border>
      <left style="thin">
        <color rgb="FF7F7F7F"/>
      </left>
      <right style="thin">
        <color rgb="FF7F7F7F"/>
      </right>
      <top style="thin">
        <color rgb="FF7F7F7F"/>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rgb="FF7F7F7F"/>
      </bottom>
      <diagonal/>
    </border>
    <border>
      <left/>
      <right style="medium">
        <color indexed="64"/>
      </right>
      <top style="thin">
        <color indexed="64"/>
      </top>
      <bottom style="thin">
        <color rgb="FF7F7F7F"/>
      </bottom>
      <diagonal/>
    </border>
    <border>
      <left style="thin">
        <color rgb="FF7F7F7F"/>
      </left>
      <right style="medium">
        <color indexed="64"/>
      </right>
      <top style="thin">
        <color rgb="FF7F7F7F"/>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3">
    <xf numFmtId="0" fontId="0" fillId="0" borderId="0"/>
    <xf numFmtId="0" fontId="7" fillId="3" borderId="23" applyNumberFormat="0" applyAlignment="0" applyProtection="0"/>
    <xf numFmtId="0" fontId="10" fillId="10" borderId="23" applyNumberFormat="0" applyAlignment="0" applyProtection="0"/>
  </cellStyleXfs>
  <cellXfs count="439">
    <xf numFmtId="0" fontId="0" fillId="0" borderId="0" xfId="0"/>
    <xf numFmtId="0" fontId="0" fillId="0" borderId="0" xfId="0" applyAlignment="1">
      <alignment horizontal="center"/>
    </xf>
    <xf numFmtId="0" fontId="2" fillId="0" borderId="3" xfId="0" applyFont="1" applyBorder="1" applyAlignment="1">
      <alignment horizontal="center" wrapText="1"/>
    </xf>
    <xf numFmtId="0" fontId="3" fillId="0" borderId="0" xfId="0" applyFont="1"/>
    <xf numFmtId="0" fontId="3" fillId="0" borderId="1" xfId="0" applyFont="1" applyBorder="1" applyAlignment="1">
      <alignment horizontal="center"/>
    </xf>
    <xf numFmtId="0" fontId="3" fillId="0" borderId="1" xfId="0" applyFont="1" applyBorder="1" applyAlignment="1">
      <alignment horizontal="center" wrapText="1"/>
    </xf>
    <xf numFmtId="0" fontId="3" fillId="0" borderId="1" xfId="0" quotePrefix="1" applyFont="1" applyBorder="1" applyAlignment="1">
      <alignment horizontal="center" wrapText="1"/>
    </xf>
    <xf numFmtId="0" fontId="2" fillId="0" borderId="4" xfId="0" applyFont="1" applyBorder="1" applyAlignment="1">
      <alignment horizontal="center"/>
    </xf>
    <xf numFmtId="0" fontId="2" fillId="0" borderId="3" xfId="0" applyFont="1" applyFill="1" applyBorder="1" applyAlignment="1">
      <alignment horizontal="center" wrapText="1"/>
    </xf>
    <xf numFmtId="0" fontId="0" fillId="0" borderId="0" xfId="0" applyBorder="1"/>
    <xf numFmtId="0" fontId="3" fillId="0" borderId="0" xfId="0" applyFont="1" applyBorder="1"/>
    <xf numFmtId="0" fontId="3" fillId="0" borderId="1" xfId="0" applyFont="1" applyBorder="1" applyAlignment="1">
      <alignment horizontal="left" wrapText="1"/>
    </xf>
    <xf numFmtId="0" fontId="3" fillId="0" borderId="1" xfId="0" applyFont="1" applyFill="1" applyBorder="1" applyAlignment="1">
      <alignment horizontal="center"/>
    </xf>
    <xf numFmtId="0" fontId="0" fillId="4" borderId="0" xfId="0" applyFill="1"/>
    <xf numFmtId="0" fontId="0" fillId="0" borderId="0" xfId="0" applyFill="1"/>
    <xf numFmtId="0" fontId="0" fillId="0" borderId="0" xfId="0" quotePrefix="1"/>
    <xf numFmtId="0" fontId="0" fillId="0" borderId="0" xfId="0" applyAlignment="1">
      <alignment horizontal="center" vertical="center" wrapText="1"/>
    </xf>
    <xf numFmtId="0" fontId="0" fillId="4" borderId="0" xfId="0" applyFill="1" applyAlignment="1">
      <alignment horizontal="left"/>
    </xf>
    <xf numFmtId="0" fontId="0" fillId="6" borderId="0" xfId="0" applyFill="1"/>
    <xf numFmtId="0" fontId="2" fillId="2" borderId="0" xfId="0" applyFont="1" applyFill="1"/>
    <xf numFmtId="0" fontId="5" fillId="2" borderId="0" xfId="0" applyFont="1" applyFill="1"/>
    <xf numFmtId="0" fontId="5" fillId="0" borderId="0" xfId="0" applyFont="1"/>
    <xf numFmtId="0" fontId="6" fillId="2" borderId="0" xfId="0" applyFont="1" applyFill="1"/>
    <xf numFmtId="0" fontId="5" fillId="6" borderId="0" xfId="0" applyFont="1" applyFill="1"/>
    <xf numFmtId="0" fontId="0" fillId="6" borderId="0" xfId="0" applyFill="1" applyBorder="1"/>
    <xf numFmtId="0" fontId="0" fillId="6" borderId="0" xfId="0" applyFill="1" applyAlignment="1">
      <alignment horizontal="center"/>
    </xf>
    <xf numFmtId="0" fontId="0" fillId="6" borderId="0" xfId="0" applyFill="1" applyAlignment="1">
      <alignment horizontal="left"/>
    </xf>
    <xf numFmtId="0" fontId="8" fillId="0" borderId="3" xfId="0" applyFont="1" applyBorder="1" applyAlignment="1">
      <alignment horizontal="center" wrapText="1"/>
    </xf>
    <xf numFmtId="0" fontId="8" fillId="0" borderId="4" xfId="0" applyFont="1" applyBorder="1" applyAlignment="1">
      <alignment horizontal="center"/>
    </xf>
    <xf numFmtId="0" fontId="8" fillId="0" borderId="3" xfId="0" applyFont="1" applyFill="1" applyBorder="1" applyAlignment="1">
      <alignment horizontal="center" wrapText="1"/>
    </xf>
    <xf numFmtId="0" fontId="9" fillId="0" borderId="2" xfId="0" applyFont="1" applyBorder="1" applyAlignment="1">
      <alignment horizontal="center" wrapText="1"/>
    </xf>
    <xf numFmtId="0" fontId="9" fillId="0" borderId="2" xfId="0" applyFont="1" applyBorder="1" applyAlignment="1">
      <alignment horizontal="center"/>
    </xf>
    <xf numFmtId="0" fontId="9" fillId="0" borderId="2" xfId="0" applyFont="1" applyBorder="1" applyAlignment="1">
      <alignment wrapText="1"/>
    </xf>
    <xf numFmtId="0" fontId="9" fillId="0" borderId="1" xfId="0" applyFont="1" applyBorder="1" applyAlignment="1">
      <alignment horizontal="center" wrapText="1"/>
    </xf>
    <xf numFmtId="0" fontId="9" fillId="0" borderId="1" xfId="0" applyFont="1" applyBorder="1" applyAlignment="1">
      <alignment horizontal="center"/>
    </xf>
    <xf numFmtId="0" fontId="9" fillId="0" borderId="1" xfId="0" applyFont="1" applyBorder="1" applyAlignment="1">
      <alignment wrapText="1"/>
    </xf>
    <xf numFmtId="0" fontId="9" fillId="6" borderId="0" xfId="0" applyFont="1" applyFill="1"/>
    <xf numFmtId="0" fontId="9" fillId="0" borderId="1" xfId="0" applyNumberFormat="1" applyFont="1" applyFill="1" applyBorder="1" applyAlignment="1">
      <alignment horizontal="center"/>
    </xf>
    <xf numFmtId="0" fontId="9" fillId="0" borderId="1" xfId="0" applyFont="1" applyFill="1" applyBorder="1" applyAlignment="1">
      <alignment wrapText="1"/>
    </xf>
    <xf numFmtId="0" fontId="9" fillId="0" borderId="1" xfId="0" applyFont="1" applyFill="1" applyBorder="1" applyAlignment="1">
      <alignment horizontal="center" wrapText="1"/>
    </xf>
    <xf numFmtId="0" fontId="9" fillId="0" borderId="1" xfId="1" applyFont="1" applyFill="1" applyBorder="1" applyAlignment="1">
      <alignment horizontal="center" wrapText="1"/>
    </xf>
    <xf numFmtId="0" fontId="0" fillId="7" borderId="0" xfId="0" applyFill="1" applyAlignment="1">
      <alignment horizontal="center"/>
    </xf>
    <xf numFmtId="0" fontId="3" fillId="8" borderId="0" xfId="0" applyFont="1" applyFill="1" applyAlignment="1">
      <alignment horizontal="center"/>
    </xf>
    <xf numFmtId="0" fontId="0" fillId="8" borderId="0" xfId="0" applyFill="1" applyAlignment="1">
      <alignment horizontal="center"/>
    </xf>
    <xf numFmtId="0" fontId="4" fillId="6" borderId="5" xfId="0" applyFont="1" applyFill="1" applyBorder="1"/>
    <xf numFmtId="0" fontId="0" fillId="6" borderId="6" xfId="0" applyFill="1" applyBorder="1"/>
    <xf numFmtId="0" fontId="0" fillId="6" borderId="7" xfId="0" applyFill="1" applyBorder="1" applyAlignment="1">
      <alignment horizontal="center"/>
    </xf>
    <xf numFmtId="0" fontId="3" fillId="0" borderId="8" xfId="0" applyFont="1" applyBorder="1"/>
    <xf numFmtId="0" fontId="3" fillId="0" borderId="8" xfId="0" applyFont="1" applyFill="1" applyBorder="1"/>
    <xf numFmtId="0" fontId="3" fillId="0" borderId="9" xfId="0" applyFont="1" applyFill="1" applyBorder="1"/>
    <xf numFmtId="0" fontId="3" fillId="6" borderId="0" xfId="0" applyFont="1" applyFill="1"/>
    <xf numFmtId="0" fontId="0" fillId="6" borderId="0" xfId="0" quotePrefix="1" applyFill="1"/>
    <xf numFmtId="0" fontId="7" fillId="6" borderId="0" xfId="1" applyFill="1" applyBorder="1"/>
    <xf numFmtId="0" fontId="0" fillId="6" borderId="7" xfId="0" applyFill="1" applyBorder="1"/>
    <xf numFmtId="0" fontId="9" fillId="6" borderId="0" xfId="0" applyFont="1" applyFill="1" applyBorder="1"/>
    <xf numFmtId="0" fontId="0" fillId="6" borderId="0" xfId="0" applyFill="1" applyAlignment="1">
      <alignment wrapText="1"/>
    </xf>
    <xf numFmtId="0" fontId="0" fillId="6" borderId="0" xfId="0" applyFill="1" applyBorder="1" applyAlignment="1">
      <alignment horizontal="center"/>
    </xf>
    <xf numFmtId="0" fontId="9" fillId="9" borderId="1" xfId="1" applyFont="1" applyFill="1" applyBorder="1" applyAlignment="1">
      <alignment horizontal="center" wrapText="1"/>
    </xf>
    <xf numFmtId="0" fontId="3" fillId="9" borderId="1" xfId="0" applyFont="1" applyFill="1" applyBorder="1" applyAlignment="1">
      <alignment horizontal="center"/>
    </xf>
    <xf numFmtId="0" fontId="0" fillId="0" borderId="0" xfId="0" quotePrefix="1" applyAlignment="1">
      <alignment horizontal="left"/>
    </xf>
    <xf numFmtId="0" fontId="3" fillId="0" borderId="0" xfId="0" quotePrefix="1" applyFont="1"/>
    <xf numFmtId="0" fontId="9" fillId="0" borderId="10" xfId="0" applyFont="1" applyBorder="1" applyAlignment="1">
      <alignment horizontal="center" vertical="center"/>
    </xf>
    <xf numFmtId="0" fontId="2" fillId="0" borderId="4" xfId="0" applyFont="1" applyBorder="1" applyAlignment="1">
      <alignment horizontal="center" wrapText="1"/>
    </xf>
    <xf numFmtId="0" fontId="0" fillId="0" borderId="1" xfId="0"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9" fillId="0" borderId="10" xfId="0" applyFont="1" applyBorder="1" applyAlignment="1">
      <alignment horizontal="center" wrapText="1"/>
    </xf>
    <xf numFmtId="0" fontId="9" fillId="0" borderId="10" xfId="0" applyFont="1" applyBorder="1" applyAlignment="1">
      <alignment horizontal="center"/>
    </xf>
    <xf numFmtId="0" fontId="9" fillId="0" borderId="10" xfId="0" applyFont="1" applyFill="1" applyBorder="1" applyAlignment="1">
      <alignment horizontal="center" wrapText="1"/>
    </xf>
    <xf numFmtId="0" fontId="9" fillId="0" borderId="10" xfId="0" applyFont="1" applyFill="1" applyBorder="1" applyAlignment="1">
      <alignment wrapText="1"/>
    </xf>
    <xf numFmtId="0" fontId="9" fillId="0" borderId="10" xfId="0" applyNumberFormat="1" applyFont="1" applyBorder="1" applyAlignment="1">
      <alignment horizontal="center" vertical="center"/>
    </xf>
    <xf numFmtId="0" fontId="9" fillId="0" borderId="14" xfId="0" applyFont="1" applyBorder="1" applyAlignment="1">
      <alignment horizontal="left" vertical="top" wrapText="1"/>
    </xf>
    <xf numFmtId="0" fontId="9" fillId="0" borderId="10" xfId="0" applyFont="1" applyBorder="1" applyAlignment="1">
      <alignment wrapText="1"/>
    </xf>
    <xf numFmtId="0" fontId="9" fillId="0" borderId="24" xfId="0" applyFont="1" applyBorder="1" applyAlignment="1">
      <alignment horizontal="center" wrapText="1"/>
    </xf>
    <xf numFmtId="0" fontId="9" fillId="0" borderId="25" xfId="0" applyFont="1" applyBorder="1" applyAlignment="1">
      <alignment horizontal="center" wrapText="1"/>
    </xf>
    <xf numFmtId="0" fontId="9" fillId="0" borderId="25" xfId="0" applyFont="1" applyBorder="1" applyAlignment="1">
      <alignment horizontal="center"/>
    </xf>
    <xf numFmtId="0" fontId="9" fillId="0" borderId="26" xfId="0" applyFont="1" applyBorder="1" applyAlignment="1">
      <alignment wrapText="1"/>
    </xf>
    <xf numFmtId="0" fontId="9" fillId="0" borderId="8" xfId="0" applyFont="1" applyBorder="1" applyAlignment="1">
      <alignment horizontal="center" wrapText="1"/>
    </xf>
    <xf numFmtId="0" fontId="9" fillId="0" borderId="29" xfId="0" applyFont="1" applyBorder="1" applyAlignment="1">
      <alignment horizontal="center" wrapText="1"/>
    </xf>
    <xf numFmtId="0" fontId="9" fillId="0" borderId="9" xfId="0" applyFont="1" applyBorder="1" applyAlignment="1">
      <alignment horizontal="center" wrapText="1"/>
    </xf>
    <xf numFmtId="0" fontId="9" fillId="0" borderId="30" xfId="0" quotePrefix="1" applyFont="1" applyBorder="1" applyAlignment="1">
      <alignment horizontal="center" wrapText="1"/>
    </xf>
    <xf numFmtId="0" fontId="9" fillId="0" borderId="30" xfId="1" applyFont="1" applyFill="1" applyBorder="1" applyAlignment="1">
      <alignment horizontal="center" wrapText="1"/>
    </xf>
    <xf numFmtId="0" fontId="9" fillId="0" borderId="30" xfId="0" applyFont="1" applyBorder="1" applyAlignment="1">
      <alignment horizontal="center"/>
    </xf>
    <xf numFmtId="0" fontId="9" fillId="0" borderId="30" xfId="0" applyFont="1" applyBorder="1" applyAlignment="1">
      <alignment wrapText="1"/>
    </xf>
    <xf numFmtId="0" fontId="9" fillId="0" borderId="13" xfId="0" applyFont="1" applyBorder="1" applyAlignment="1">
      <alignment horizontal="center"/>
    </xf>
    <xf numFmtId="0" fontId="9" fillId="0" borderId="10" xfId="1" applyFont="1" applyFill="1" applyBorder="1" applyAlignment="1">
      <alignment horizontal="center" wrapText="1"/>
    </xf>
    <xf numFmtId="0" fontId="9" fillId="0" borderId="34" xfId="0" applyFont="1" applyBorder="1" applyAlignment="1">
      <alignment horizontal="center" wrapText="1"/>
    </xf>
    <xf numFmtId="0" fontId="9" fillId="5" borderId="1" xfId="1" applyFont="1" applyFill="1" applyBorder="1" applyAlignment="1">
      <alignment horizontal="center" wrapText="1"/>
    </xf>
    <xf numFmtId="0" fontId="9" fillId="5" borderId="1" xfId="0" quotePrefix="1" applyFont="1" applyFill="1" applyBorder="1" applyAlignment="1">
      <alignment horizontal="center" wrapText="1"/>
    </xf>
    <xf numFmtId="0" fontId="9" fillId="0" borderId="37" xfId="0" applyFont="1" applyBorder="1" applyAlignment="1">
      <alignment horizontal="center" wrapText="1"/>
    </xf>
    <xf numFmtId="0" fontId="9" fillId="0" borderId="26" xfId="0" applyFont="1" applyBorder="1" applyAlignment="1">
      <alignment horizontal="center"/>
    </xf>
    <xf numFmtId="0" fontId="9" fillId="5" borderId="30" xfId="1" applyFont="1" applyFill="1" applyBorder="1" applyAlignment="1">
      <alignment horizontal="center" wrapText="1"/>
    </xf>
    <xf numFmtId="0" fontId="9" fillId="0" borderId="26" xfId="0" applyFont="1" applyBorder="1" applyAlignment="1">
      <alignment horizontal="left" wrapText="1"/>
    </xf>
    <xf numFmtId="0" fontId="9" fillId="0" borderId="1" xfId="0" applyFont="1" applyBorder="1" applyAlignment="1">
      <alignment horizontal="left" wrapText="1"/>
    </xf>
    <xf numFmtId="0" fontId="9" fillId="0" borderId="30" xfId="0" applyFont="1" applyBorder="1" applyAlignment="1">
      <alignment horizontal="left" wrapText="1"/>
    </xf>
    <xf numFmtId="0" fontId="9" fillId="0" borderId="2" xfId="0" quotePrefix="1" applyFont="1" applyFill="1" applyBorder="1" applyAlignment="1">
      <alignment horizontal="center" wrapText="1"/>
    </xf>
    <xf numFmtId="0" fontId="9" fillId="0" borderId="2" xfId="1" applyFont="1" applyFill="1" applyBorder="1" applyAlignment="1">
      <alignment horizontal="center" wrapText="1"/>
    </xf>
    <xf numFmtId="0" fontId="9" fillId="5" borderId="30" xfId="0" quotePrefix="1" applyFont="1" applyFill="1" applyBorder="1" applyAlignment="1">
      <alignment horizontal="center" wrapText="1"/>
    </xf>
    <xf numFmtId="0" fontId="9" fillId="0" borderId="8" xfId="0" applyNumberFormat="1" applyFont="1" applyFill="1" applyBorder="1" applyAlignment="1">
      <alignment horizontal="center"/>
    </xf>
    <xf numFmtId="0" fontId="9" fillId="0" borderId="36" xfId="0" applyFont="1" applyFill="1" applyBorder="1" applyAlignment="1">
      <alignment horizontal="center" wrapText="1"/>
    </xf>
    <xf numFmtId="0" fontId="9" fillId="0" borderId="10" xfId="0" quotePrefix="1" applyFont="1" applyFill="1" applyBorder="1" applyAlignment="1">
      <alignment horizontal="center" vertical="center"/>
    </xf>
    <xf numFmtId="0" fontId="9" fillId="0" borderId="30" xfId="1" quotePrefix="1" applyFont="1" applyFill="1" applyBorder="1" applyAlignment="1">
      <alignment horizontal="center" wrapText="1"/>
    </xf>
    <xf numFmtId="0" fontId="9" fillId="5" borderId="2" xfId="0" quotePrefix="1" applyFont="1" applyFill="1" applyBorder="1" applyAlignment="1">
      <alignment horizontal="center" wrapText="1"/>
    </xf>
    <xf numFmtId="0" fontId="9" fillId="5" borderId="10" xfId="0" applyFont="1" applyFill="1" applyBorder="1" applyAlignment="1">
      <alignment horizontal="center" vertical="center"/>
    </xf>
    <xf numFmtId="0" fontId="9" fillId="5" borderId="30" xfId="0" applyFont="1" applyFill="1" applyBorder="1" applyAlignment="1">
      <alignment horizontal="center" wrapText="1"/>
    </xf>
    <xf numFmtId="0" fontId="9" fillId="0" borderId="10" xfId="0" applyNumberFormat="1" applyFont="1" applyFill="1" applyBorder="1" applyAlignment="1">
      <alignment horizontal="center"/>
    </xf>
    <xf numFmtId="0" fontId="9" fillId="0" borderId="26" xfId="1" quotePrefix="1" applyFont="1" applyFill="1" applyBorder="1" applyAlignment="1">
      <alignment horizontal="center" wrapText="1"/>
    </xf>
    <xf numFmtId="0" fontId="9" fillId="5" borderId="1" xfId="1" quotePrefix="1" applyFont="1" applyFill="1" applyBorder="1" applyAlignment="1">
      <alignment horizontal="center" wrapText="1"/>
    </xf>
    <xf numFmtId="0" fontId="8" fillId="0" borderId="4" xfId="0" applyFont="1" applyFill="1" applyBorder="1" applyAlignment="1">
      <alignment horizontal="center" wrapText="1"/>
    </xf>
    <xf numFmtId="0" fontId="8" fillId="0" borderId="0" xfId="0" applyFont="1" applyFill="1" applyBorder="1" applyAlignment="1">
      <alignment horizontal="center" wrapText="1"/>
    </xf>
    <xf numFmtId="0" fontId="9" fillId="0" borderId="0" xfId="0" applyFont="1" applyBorder="1" applyAlignment="1">
      <alignment horizontal="center" vertical="center"/>
    </xf>
    <xf numFmtId="0" fontId="2" fillId="0" borderId="0" xfId="0" applyFont="1" applyBorder="1" applyAlignment="1">
      <alignment horizontal="center" wrapText="1"/>
    </xf>
    <xf numFmtId="0" fontId="2" fillId="0" borderId="0" xfId="0" applyFont="1" applyBorder="1" applyAlignment="1">
      <alignment horizontal="center"/>
    </xf>
    <xf numFmtId="0" fontId="2" fillId="0" borderId="0" xfId="0" applyFont="1" applyFill="1" applyBorder="1" applyAlignment="1">
      <alignment horizontal="center" wrapText="1"/>
    </xf>
    <xf numFmtId="0" fontId="0" fillId="6" borderId="43" xfId="0" applyFill="1" applyBorder="1" applyAlignment="1">
      <alignment horizont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3" fillId="6" borderId="42" xfId="0" applyFont="1" applyFill="1" applyBorder="1" applyAlignment="1">
      <alignment horizontal="center"/>
    </xf>
    <xf numFmtId="0" fontId="3" fillId="0" borderId="8" xfId="0" applyFont="1" applyBorder="1" applyAlignment="1">
      <alignment wrapText="1"/>
    </xf>
    <xf numFmtId="0" fontId="0" fillId="0" borderId="43" xfId="0" applyBorder="1"/>
    <xf numFmtId="0" fontId="3" fillId="6" borderId="43" xfId="0" applyFont="1" applyFill="1" applyBorder="1" applyAlignment="1">
      <alignment wrapText="1"/>
    </xf>
    <xf numFmtId="0" fontId="9" fillId="0" borderId="43" xfId="0" applyFont="1" applyFill="1" applyBorder="1" applyAlignment="1">
      <alignment horizontal="center" vertical="center"/>
    </xf>
    <xf numFmtId="0" fontId="3" fillId="6" borderId="0" xfId="0" applyFont="1" applyFill="1" applyBorder="1" applyAlignment="1">
      <alignment horizontal="center"/>
    </xf>
    <xf numFmtId="0" fontId="3" fillId="6" borderId="0" xfId="0" applyFont="1" applyFill="1" applyBorder="1" applyAlignment="1">
      <alignment wrapText="1"/>
    </xf>
    <xf numFmtId="0" fontId="9" fillId="0" borderId="0" xfId="0" applyFont="1" applyFill="1" applyBorder="1" applyAlignment="1">
      <alignment horizontal="center" vertical="center"/>
    </xf>
    <xf numFmtId="0" fontId="0" fillId="0" borderId="43" xfId="0" applyBorder="1" applyAlignment="1">
      <alignment horizontal="center"/>
    </xf>
    <xf numFmtId="0" fontId="0" fillId="5" borderId="43" xfId="0" applyFill="1" applyBorder="1" applyAlignment="1">
      <alignment horizontal="center"/>
    </xf>
    <xf numFmtId="0" fontId="0" fillId="0" borderId="0" xfId="0" applyFill="1" applyAlignment="1">
      <alignment horizontal="center" vertical="center" wrapText="1"/>
    </xf>
    <xf numFmtId="0" fontId="0" fillId="0" borderId="0" xfId="0"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0" fillId="2" borderId="0" xfId="0" applyFill="1" applyAlignment="1">
      <alignment horizontal="center"/>
    </xf>
    <xf numFmtId="0" fontId="5" fillId="2" borderId="0" xfId="0" applyFont="1" applyFill="1" applyAlignment="1">
      <alignment horizontal="center"/>
    </xf>
    <xf numFmtId="0" fontId="2" fillId="0" borderId="4" xfId="0" applyFont="1" applyFill="1" applyBorder="1" applyAlignment="1">
      <alignment horizontal="center" wrapText="1"/>
    </xf>
    <xf numFmtId="0" fontId="3" fillId="0" borderId="1" xfId="0" applyFont="1" applyFill="1" applyBorder="1" applyAlignment="1">
      <alignment horizontal="left" vertical="center" wrapText="1"/>
    </xf>
    <xf numFmtId="0" fontId="0" fillId="0" borderId="43" xfId="0" applyFill="1" applyBorder="1" applyAlignment="1">
      <alignment horizontal="center" vertical="center" wrapText="1"/>
    </xf>
    <xf numFmtId="0" fontId="3" fillId="0" borderId="43" xfId="0" applyFont="1" applyFill="1" applyBorder="1" applyAlignment="1">
      <alignment horizontal="center" vertical="center" wrapText="1"/>
    </xf>
    <xf numFmtId="0" fontId="0" fillId="0" borderId="44" xfId="0" applyFill="1" applyBorder="1" applyAlignment="1">
      <alignment horizontal="center" vertical="center" wrapText="1"/>
    </xf>
    <xf numFmtId="0" fontId="0" fillId="0" borderId="26" xfId="0" applyFill="1" applyBorder="1" applyAlignment="1">
      <alignment horizontal="center" vertical="center" wrapText="1"/>
    </xf>
    <xf numFmtId="0" fontId="3" fillId="0" borderId="26" xfId="0" applyFont="1" applyFill="1" applyBorder="1" applyAlignment="1">
      <alignment horizontal="left" vertical="center" wrapText="1"/>
    </xf>
    <xf numFmtId="0" fontId="0" fillId="0" borderId="30" xfId="0" applyFill="1" applyBorder="1" applyAlignment="1">
      <alignment horizontal="center" vertical="center" wrapText="1"/>
    </xf>
    <xf numFmtId="0" fontId="3" fillId="0" borderId="30" xfId="0" applyFont="1" applyFill="1" applyBorder="1" applyAlignment="1">
      <alignment horizontal="left" vertical="center" wrapText="1"/>
    </xf>
    <xf numFmtId="0" fontId="3" fillId="0" borderId="3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6" xfId="0" quotePrefix="1" applyFont="1" applyFill="1" applyBorder="1" applyAlignment="1">
      <alignment horizontal="center" vertical="center" wrapText="1"/>
    </xf>
    <xf numFmtId="0" fontId="3" fillId="0" borderId="1" xfId="0" quotePrefix="1"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quotePrefix="1" applyFont="1" applyFill="1" applyBorder="1" applyAlignment="1">
      <alignment horizontal="center" vertical="center" wrapText="1"/>
    </xf>
    <xf numFmtId="0" fontId="9" fillId="5" borderId="26" xfId="1" applyFont="1" applyFill="1" applyBorder="1" applyAlignment="1">
      <alignment horizontal="center" wrapText="1"/>
    </xf>
    <xf numFmtId="0" fontId="3" fillId="0" borderId="37" xfId="0" applyFont="1" applyBorder="1" applyAlignment="1">
      <alignment horizontal="center" wrapText="1"/>
    </xf>
    <xf numFmtId="0" fontId="3" fillId="0" borderId="26" xfId="0" applyFont="1" applyBorder="1" applyAlignment="1">
      <alignment horizontal="center" wrapText="1"/>
    </xf>
    <xf numFmtId="0" fontId="3" fillId="0" borderId="8" xfId="0" applyFont="1" applyBorder="1" applyAlignment="1">
      <alignment horizontal="center" wrapText="1"/>
    </xf>
    <xf numFmtId="0" fontId="3" fillId="6" borderId="30" xfId="0" applyFont="1" applyFill="1" applyBorder="1" applyAlignment="1">
      <alignment horizontal="center"/>
    </xf>
    <xf numFmtId="0" fontId="3" fillId="6" borderId="30" xfId="0" applyFont="1" applyFill="1" applyBorder="1" applyAlignment="1">
      <alignment horizontal="left" wrapText="1"/>
    </xf>
    <xf numFmtId="0" fontId="3" fillId="6" borderId="9" xfId="0" applyFont="1" applyFill="1" applyBorder="1" applyAlignment="1">
      <alignment horizontal="center"/>
    </xf>
    <xf numFmtId="0" fontId="3" fillId="0" borderId="26" xfId="0" quotePrefix="1" applyFont="1" applyBorder="1" applyAlignment="1">
      <alignment horizontal="center" wrapText="1"/>
    </xf>
    <xf numFmtId="0" fontId="3" fillId="6" borderId="30" xfId="0" quotePrefix="1" applyFont="1" applyFill="1" applyBorder="1" applyAlignment="1">
      <alignment horizontal="center"/>
    </xf>
    <xf numFmtId="0" fontId="3" fillId="0" borderId="13" xfId="0" applyFont="1" applyFill="1" applyBorder="1" applyAlignment="1">
      <alignment horizontal="left" wrapText="1"/>
    </xf>
    <xf numFmtId="0" fontId="3" fillId="0" borderId="9" xfId="0" applyFont="1" applyBorder="1" applyAlignment="1">
      <alignment horizontal="center" wrapText="1"/>
    </xf>
    <xf numFmtId="0" fontId="3" fillId="0" borderId="30" xfId="0" quotePrefix="1" applyFont="1" applyBorder="1" applyAlignment="1">
      <alignment horizontal="center" wrapText="1"/>
    </xf>
    <xf numFmtId="0" fontId="3" fillId="0" borderId="30" xfId="0" applyFont="1" applyBorder="1" applyAlignment="1">
      <alignment horizontal="center"/>
    </xf>
    <xf numFmtId="0" fontId="3" fillId="0" borderId="30" xfId="0" applyFont="1" applyBorder="1" applyAlignment="1">
      <alignment horizontal="center" wrapText="1"/>
    </xf>
    <xf numFmtId="0" fontId="3" fillId="0" borderId="27" xfId="0" applyFont="1" applyBorder="1" applyAlignment="1">
      <alignment horizontal="left" wrapText="1"/>
    </xf>
    <xf numFmtId="0" fontId="3" fillId="0" borderId="28" xfId="0" applyFont="1" applyBorder="1" applyAlignment="1">
      <alignment horizontal="left" wrapText="1"/>
    </xf>
    <xf numFmtId="0" fontId="3" fillId="0" borderId="31" xfId="0" applyFont="1" applyBorder="1" applyAlignment="1">
      <alignment horizontal="left" wrapText="1"/>
    </xf>
    <xf numFmtId="0" fontId="3" fillId="0" borderId="26" xfId="0" applyFont="1" applyFill="1" applyBorder="1" applyAlignment="1">
      <alignment horizontal="center"/>
    </xf>
    <xf numFmtId="0" fontId="3" fillId="9" borderId="26" xfId="0" applyFont="1" applyFill="1" applyBorder="1" applyAlignment="1">
      <alignment horizontal="center"/>
    </xf>
    <xf numFmtId="0" fontId="3" fillId="0" borderId="36" xfId="0" applyFont="1" applyBorder="1" applyAlignment="1">
      <alignment horizontal="center" wrapText="1"/>
    </xf>
    <xf numFmtId="0" fontId="3" fillId="0" borderId="10" xfId="0" applyFont="1" applyBorder="1" applyAlignment="1">
      <alignment horizontal="center" wrapText="1"/>
    </xf>
    <xf numFmtId="0" fontId="0" fillId="0" borderId="0" xfId="0" applyBorder="1" applyAlignment="1"/>
    <xf numFmtId="0" fontId="3" fillId="0" borderId="25" xfId="0" applyFont="1" applyFill="1" applyBorder="1" applyAlignment="1">
      <alignment horizontal="center" vertical="center" wrapText="1"/>
    </xf>
    <xf numFmtId="0" fontId="0" fillId="0" borderId="35" xfId="0" applyFill="1" applyBorder="1" applyAlignment="1">
      <alignment horizontal="center" vertical="center" wrapText="1"/>
    </xf>
    <xf numFmtId="0" fontId="1" fillId="0" borderId="43"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0" fillId="0" borderId="33" xfId="0"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9" borderId="26"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0" fillId="0" borderId="13" xfId="0" applyFill="1" applyBorder="1" applyAlignment="1">
      <alignment horizontal="center" vertical="center" wrapText="1"/>
    </xf>
    <xf numFmtId="0" fontId="1" fillId="0" borderId="13"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1" fillId="0" borderId="43" xfId="0" applyFont="1" applyFill="1" applyBorder="1" applyAlignment="1">
      <alignment horizontal="left" vertical="center" wrapText="1"/>
    </xf>
    <xf numFmtId="0" fontId="3" fillId="0" borderId="24" xfId="0" applyFont="1" applyFill="1" applyBorder="1" applyAlignment="1">
      <alignment horizontal="center" vertical="center" wrapText="1"/>
    </xf>
    <xf numFmtId="0" fontId="1" fillId="0" borderId="25"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33"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2" fillId="0" borderId="3" xfId="0" applyFont="1" applyBorder="1" applyAlignment="1">
      <alignment horizontal="center"/>
    </xf>
    <xf numFmtId="0" fontId="3" fillId="9" borderId="2"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3" fillId="5" borderId="43" xfId="0" applyFont="1" applyFill="1" applyBorder="1" applyAlignment="1">
      <alignment horizontal="center" vertical="center" wrapText="1"/>
    </xf>
    <xf numFmtId="0" fontId="3" fillId="5" borderId="30" xfId="0" applyFont="1" applyFill="1" applyBorder="1" applyAlignment="1">
      <alignment horizontal="center" vertical="center" wrapText="1"/>
    </xf>
    <xf numFmtId="0" fontId="3" fillId="5" borderId="33" xfId="0" applyFont="1" applyFill="1" applyBorder="1" applyAlignment="1">
      <alignment horizontal="center" vertical="center" wrapText="1"/>
    </xf>
    <xf numFmtId="0" fontId="3" fillId="9" borderId="25" xfId="0" applyFont="1" applyFill="1" applyBorder="1" applyAlignment="1">
      <alignment horizontal="center" vertical="center" wrapText="1"/>
    </xf>
    <xf numFmtId="0" fontId="3" fillId="9" borderId="43" xfId="0" applyFont="1" applyFill="1" applyBorder="1" applyAlignment="1">
      <alignment horizontal="center" vertical="center" wrapText="1"/>
    </xf>
    <xf numFmtId="0" fontId="10" fillId="10" borderId="23" xfId="2" applyAlignment="1">
      <alignment horizontal="center"/>
    </xf>
    <xf numFmtId="0" fontId="10" fillId="10" borderId="48" xfId="2" applyBorder="1" applyAlignment="1">
      <alignment horizontal="center"/>
    </xf>
    <xf numFmtId="0" fontId="10" fillId="10" borderId="1" xfId="2" applyBorder="1" applyAlignment="1">
      <alignment horizontal="center" vertical="center" wrapText="1"/>
    </xf>
    <xf numFmtId="0" fontId="10" fillId="10" borderId="30" xfId="2" applyBorder="1" applyAlignment="1">
      <alignment horizontal="center" vertical="center" wrapText="1"/>
    </xf>
    <xf numFmtId="0" fontId="3" fillId="6" borderId="8" xfId="0" applyFont="1" applyFill="1" applyBorder="1" applyAlignment="1">
      <alignment horizontal="left" vertical="center" wrapText="1"/>
    </xf>
    <xf numFmtId="0" fontId="10" fillId="10" borderId="49" xfId="2" applyBorder="1" applyAlignment="1">
      <alignment horizontal="center" wrapText="1"/>
    </xf>
    <xf numFmtId="0" fontId="10" fillId="6" borderId="49" xfId="2" applyFill="1" applyBorder="1" applyAlignment="1">
      <alignment horizontal="center" wrapText="1"/>
    </xf>
    <xf numFmtId="0" fontId="2" fillId="11" borderId="3" xfId="0" applyFont="1" applyFill="1" applyBorder="1"/>
    <xf numFmtId="0" fontId="3" fillId="0" borderId="0" xfId="0" applyFont="1" applyFill="1"/>
    <xf numFmtId="0" fontId="13" fillId="6" borderId="0" xfId="0" applyFont="1" applyFill="1" applyAlignment="1">
      <alignment wrapText="1"/>
    </xf>
    <xf numFmtId="0" fontId="9" fillId="0" borderId="1" xfId="0" applyFont="1" applyBorder="1" applyAlignment="1">
      <alignment horizontal="center"/>
    </xf>
    <xf numFmtId="0" fontId="9" fillId="0" borderId="30" xfId="0" applyFont="1" applyBorder="1" applyAlignment="1">
      <alignment horizontal="center"/>
    </xf>
    <xf numFmtId="0" fontId="9" fillId="0" borderId="0" xfId="0" applyFont="1" applyBorder="1" applyAlignment="1">
      <alignment horizontal="center" wrapText="1"/>
    </xf>
    <xf numFmtId="0" fontId="9" fillId="0" borderId="0" xfId="0" quotePrefix="1" applyFont="1" applyBorder="1" applyAlignment="1">
      <alignment horizontal="center" wrapText="1"/>
    </xf>
    <xf numFmtId="0" fontId="9" fillId="0" borderId="0" xfId="0" applyFont="1" applyBorder="1" applyAlignment="1">
      <alignment horizontal="center"/>
    </xf>
    <xf numFmtId="0" fontId="9" fillId="0" borderId="0" xfId="0" applyFont="1" applyBorder="1" applyAlignment="1">
      <alignment wrapText="1"/>
    </xf>
    <xf numFmtId="0" fontId="9" fillId="6" borderId="0" xfId="1" applyFont="1" applyFill="1" applyBorder="1" applyAlignment="1">
      <alignment horizontal="center" wrapText="1"/>
    </xf>
    <xf numFmtId="0" fontId="9" fillId="6" borderId="1" xfId="0" quotePrefix="1" applyFont="1" applyFill="1" applyBorder="1" applyAlignment="1">
      <alignment horizontal="center" wrapText="1"/>
    </xf>
    <xf numFmtId="0" fontId="9" fillId="6" borderId="30" xfId="0" quotePrefix="1" applyFont="1" applyFill="1" applyBorder="1" applyAlignment="1">
      <alignment horizontal="center" wrapText="1"/>
    </xf>
    <xf numFmtId="0" fontId="9" fillId="6" borderId="26" xfId="1" quotePrefix="1" applyFont="1" applyFill="1" applyBorder="1" applyAlignment="1">
      <alignment horizontal="center" wrapText="1"/>
    </xf>
    <xf numFmtId="0" fontId="9" fillId="9" borderId="25" xfId="0" applyFont="1" applyFill="1" applyBorder="1" applyAlignment="1">
      <alignment horizontal="center" wrapText="1"/>
    </xf>
    <xf numFmtId="0" fontId="9" fillId="6" borderId="26" xfId="0" quotePrefix="1" applyFont="1" applyFill="1" applyBorder="1" applyAlignment="1">
      <alignment horizontal="center" wrapText="1"/>
    </xf>
    <xf numFmtId="0" fontId="9" fillId="6" borderId="1" xfId="1" applyFont="1" applyFill="1" applyBorder="1" applyAlignment="1">
      <alignment horizontal="center" wrapText="1"/>
    </xf>
    <xf numFmtId="0" fontId="9" fillId="6" borderId="30" xfId="1" applyFont="1" applyFill="1" applyBorder="1" applyAlignment="1">
      <alignment horizontal="center" wrapText="1"/>
    </xf>
    <xf numFmtId="0" fontId="9" fillId="6" borderId="26" xfId="0" applyFont="1" applyFill="1" applyBorder="1" applyAlignment="1">
      <alignment horizontal="center" wrapText="1"/>
    </xf>
    <xf numFmtId="0" fontId="9" fillId="6" borderId="1" xfId="1" quotePrefix="1" applyFont="1" applyFill="1" applyBorder="1" applyAlignment="1">
      <alignment horizontal="center" wrapText="1"/>
    </xf>
    <xf numFmtId="0" fontId="3" fillId="0" borderId="50" xfId="1" applyFont="1" applyFill="1" applyBorder="1" applyAlignment="1">
      <alignment horizontal="center" wrapText="1"/>
    </xf>
    <xf numFmtId="0" fontId="3" fillId="0" borderId="10" xfId="1" applyFont="1" applyFill="1" applyBorder="1" applyAlignment="1">
      <alignment horizontal="center" wrapText="1"/>
    </xf>
    <xf numFmtId="0" fontId="3" fillId="6" borderId="30" xfId="1" applyFont="1" applyFill="1" applyBorder="1" applyAlignment="1">
      <alignment horizontal="center" wrapText="1"/>
    </xf>
    <xf numFmtId="0" fontId="9" fillId="9" borderId="1" xfId="1" quotePrefix="1" applyFont="1" applyFill="1" applyBorder="1" applyAlignment="1">
      <alignment horizontal="center" wrapText="1"/>
    </xf>
    <xf numFmtId="0" fontId="9" fillId="9" borderId="30" xfId="0" quotePrefix="1" applyFont="1" applyFill="1" applyBorder="1" applyAlignment="1">
      <alignment horizontal="center" wrapText="1"/>
    </xf>
    <xf numFmtId="0" fontId="9" fillId="6" borderId="25" xfId="1" quotePrefix="1" applyFont="1" applyFill="1" applyBorder="1" applyAlignment="1">
      <alignment horizontal="center" wrapText="1"/>
    </xf>
    <xf numFmtId="0" fontId="9" fillId="5" borderId="1" xfId="0" applyFont="1" applyFill="1" applyBorder="1" applyAlignment="1">
      <alignment horizontal="center" wrapText="1"/>
    </xf>
    <xf numFmtId="0" fontId="9" fillId="5" borderId="13" xfId="0" applyFont="1" applyFill="1" applyBorder="1" applyAlignment="1">
      <alignment horizontal="center" wrapText="1"/>
    </xf>
    <xf numFmtId="0" fontId="9" fillId="6" borderId="13" xfId="1" quotePrefix="1" applyFont="1" applyFill="1" applyBorder="1" applyAlignment="1">
      <alignment horizontal="center" wrapText="1"/>
    </xf>
    <xf numFmtId="0" fontId="3" fillId="6" borderId="26" xfId="0" applyFont="1" applyFill="1" applyBorder="1" applyAlignment="1">
      <alignment horizontal="center" wrapText="1"/>
    </xf>
    <xf numFmtId="0" fontId="3" fillId="6" borderId="1" xfId="0" applyFont="1" applyFill="1" applyBorder="1" applyAlignment="1">
      <alignment horizontal="center" wrapText="1"/>
    </xf>
    <xf numFmtId="0" fontId="3" fillId="6" borderId="1" xfId="0" quotePrefix="1" applyFont="1" applyFill="1" applyBorder="1" applyAlignment="1">
      <alignment horizontal="center" wrapText="1"/>
    </xf>
    <xf numFmtId="0" fontId="3" fillId="6" borderId="30" xfId="0" quotePrefix="1" applyFont="1" applyFill="1" applyBorder="1" applyAlignment="1">
      <alignment horizontal="center" wrapText="1"/>
    </xf>
    <xf numFmtId="0" fontId="11" fillId="6" borderId="1" xfId="2" applyFont="1" applyFill="1" applyBorder="1" applyAlignment="1">
      <alignment horizontal="center" wrapText="1"/>
    </xf>
    <xf numFmtId="0" fontId="11" fillId="6" borderId="26" xfId="1" quotePrefix="1" applyFont="1" applyFill="1" applyBorder="1" applyAlignment="1">
      <alignment horizontal="center" wrapText="1"/>
    </xf>
    <xf numFmtId="0" fontId="3" fillId="6" borderId="1" xfId="1" quotePrefix="1" applyFont="1" applyFill="1" applyBorder="1" applyAlignment="1">
      <alignment horizontal="center" wrapText="1"/>
    </xf>
    <xf numFmtId="0" fontId="9" fillId="6" borderId="2" xfId="0" quotePrefix="1" applyFont="1" applyFill="1" applyBorder="1" applyAlignment="1">
      <alignment horizontal="center" wrapText="1"/>
    </xf>
    <xf numFmtId="0" fontId="9" fillId="6" borderId="2" xfId="1" applyFont="1" applyFill="1" applyBorder="1" applyAlignment="1">
      <alignment horizontal="center" wrapText="1"/>
    </xf>
    <xf numFmtId="0" fontId="9" fillId="0" borderId="1" xfId="0" applyFont="1" applyBorder="1" applyAlignment="1">
      <alignment horizontal="center"/>
    </xf>
    <xf numFmtId="0" fontId="9" fillId="0" borderId="30" xfId="0" applyFont="1" applyBorder="1" applyAlignment="1">
      <alignment horizontal="center"/>
    </xf>
    <xf numFmtId="0" fontId="1" fillId="0" borderId="25"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3" fillId="0" borderId="20" xfId="0" applyFont="1" applyBorder="1" applyAlignment="1">
      <alignment horizontal="left" wrapText="1"/>
    </xf>
    <xf numFmtId="0" fontId="10" fillId="6" borderId="0" xfId="2" applyFill="1" applyBorder="1" applyAlignment="1">
      <alignment horizontal="center"/>
    </xf>
    <xf numFmtId="0" fontId="9" fillId="6" borderId="0" xfId="0" applyFont="1" applyFill="1" applyBorder="1" applyAlignment="1">
      <alignment horizontal="center" vertical="center"/>
    </xf>
    <xf numFmtId="0" fontId="2" fillId="12" borderId="15" xfId="0" applyFont="1" applyFill="1" applyBorder="1" applyAlignment="1">
      <alignment horizontal="center"/>
    </xf>
    <xf numFmtId="0" fontId="2" fillId="12" borderId="0" xfId="0" applyFont="1" applyFill="1" applyBorder="1" applyAlignment="1">
      <alignment horizontal="center"/>
    </xf>
    <xf numFmtId="0" fontId="2" fillId="12" borderId="16" xfId="0" applyFont="1" applyFill="1" applyBorder="1" applyAlignment="1">
      <alignment horizontal="center"/>
    </xf>
    <xf numFmtId="0" fontId="2" fillId="12" borderId="17" xfId="0" applyFont="1" applyFill="1" applyBorder="1" applyAlignment="1">
      <alignment horizontal="center"/>
    </xf>
    <xf numFmtId="0" fontId="2" fillId="12" borderId="18" xfId="0" applyFont="1" applyFill="1" applyBorder="1" applyAlignment="1">
      <alignment horizontal="center"/>
    </xf>
    <xf numFmtId="0" fontId="2" fillId="12" borderId="19" xfId="0" applyFont="1" applyFill="1" applyBorder="1" applyAlignment="1">
      <alignment horizontal="center"/>
    </xf>
    <xf numFmtId="0" fontId="3" fillId="0" borderId="10" xfId="0" quotePrefix="1" applyFont="1" applyBorder="1" applyAlignment="1">
      <alignment horizontal="center" wrapText="1"/>
    </xf>
    <xf numFmtId="0" fontId="3" fillId="0" borderId="42" xfId="0" applyFont="1" applyBorder="1" applyAlignment="1">
      <alignment horizontal="center" wrapText="1"/>
    </xf>
    <xf numFmtId="0" fontId="3" fillId="0" borderId="43" xfId="0" quotePrefix="1" applyFont="1" applyBorder="1" applyAlignment="1">
      <alignment horizontal="center" wrapText="1"/>
    </xf>
    <xf numFmtId="0" fontId="3" fillId="6" borderId="48" xfId="2" applyFont="1" applyFill="1" applyBorder="1" applyAlignment="1">
      <alignment horizontal="center"/>
    </xf>
    <xf numFmtId="0" fontId="3" fillId="0" borderId="43" xfId="0" applyFont="1" applyBorder="1" applyAlignment="1">
      <alignment horizontal="center" wrapText="1"/>
    </xf>
    <xf numFmtId="0" fontId="3" fillId="0" borderId="44" xfId="0" applyFont="1" applyBorder="1" applyAlignment="1">
      <alignment horizontal="left" wrapText="1"/>
    </xf>
    <xf numFmtId="0" fontId="3" fillId="0" borderId="0" xfId="0" applyFont="1" applyBorder="1" applyAlignment="1">
      <alignment horizontal="center" wrapText="1"/>
    </xf>
    <xf numFmtId="0" fontId="3" fillId="0" borderId="0" xfId="0" quotePrefix="1" applyFont="1" applyBorder="1" applyAlignment="1">
      <alignment horizontal="center" wrapText="1"/>
    </xf>
    <xf numFmtId="0" fontId="3" fillId="0" borderId="0" xfId="0" applyFont="1" applyBorder="1" applyAlignment="1">
      <alignment horizontal="center"/>
    </xf>
    <xf numFmtId="0" fontId="3" fillId="0" borderId="0" xfId="0" applyFont="1" applyBorder="1" applyAlignment="1">
      <alignment horizontal="left" wrapText="1"/>
    </xf>
    <xf numFmtId="0" fontId="3" fillId="6" borderId="1" xfId="0" applyFont="1" applyFill="1" applyBorder="1" applyAlignment="1">
      <alignment horizontal="center"/>
    </xf>
    <xf numFmtId="0" fontId="2" fillId="11" borderId="51" xfId="0" applyFont="1" applyFill="1" applyBorder="1"/>
    <xf numFmtId="0" fontId="2" fillId="12" borderId="4" xfId="0" applyFont="1" applyFill="1" applyBorder="1" applyAlignment="1">
      <alignment horizontal="center"/>
    </xf>
    <xf numFmtId="0" fontId="2" fillId="12" borderId="52" xfId="0" applyFont="1" applyFill="1" applyBorder="1" applyAlignment="1">
      <alignment horizontal="center"/>
    </xf>
    <xf numFmtId="0" fontId="2" fillId="12" borderId="53" xfId="0" applyFont="1" applyFill="1" applyBorder="1" applyAlignment="1">
      <alignment horizontal="center"/>
    </xf>
    <xf numFmtId="0" fontId="9" fillId="9" borderId="26" xfId="0" applyFont="1" applyFill="1" applyBorder="1" applyAlignment="1">
      <alignment horizontal="center" wrapText="1"/>
    </xf>
    <xf numFmtId="0" fontId="9" fillId="9" borderId="1" xfId="0" applyFont="1" applyFill="1" applyBorder="1" applyAlignment="1">
      <alignment horizontal="center" wrapText="1"/>
    </xf>
    <xf numFmtId="0" fontId="9" fillId="6" borderId="30" xfId="1" quotePrefix="1" applyFont="1" applyFill="1" applyBorder="1" applyAlignment="1">
      <alignment horizontal="center" wrapText="1"/>
    </xf>
    <xf numFmtId="0" fontId="9" fillId="9" borderId="30" xfId="0" applyFont="1" applyFill="1" applyBorder="1" applyAlignment="1">
      <alignment horizontal="center" wrapText="1"/>
    </xf>
    <xf numFmtId="0" fontId="9" fillId="5" borderId="25" xfId="0" applyFont="1" applyFill="1" applyBorder="1" applyAlignment="1">
      <alignment horizontal="center" wrapText="1"/>
    </xf>
    <xf numFmtId="0" fontId="10" fillId="10" borderId="23" xfId="2" quotePrefix="1" applyAlignment="1">
      <alignment horizontal="center" wrapText="1"/>
    </xf>
    <xf numFmtId="0" fontId="0" fillId="13" borderId="1" xfId="0" applyFill="1" applyBorder="1" applyAlignment="1">
      <alignment horizontal="center"/>
    </xf>
    <xf numFmtId="0" fontId="3" fillId="0" borderId="0" xfId="0" applyFont="1" applyAlignment="1">
      <alignment horizontal="right" vertical="center" wrapText="1"/>
    </xf>
    <xf numFmtId="0" fontId="0" fillId="0" borderId="0" xfId="0" applyAlignment="1">
      <alignment horizontal="right" vertical="center" wrapText="1"/>
    </xf>
    <xf numFmtId="0" fontId="3" fillId="0" borderId="26" xfId="0" applyFont="1" applyBorder="1" applyAlignment="1">
      <alignment horizontal="center"/>
    </xf>
    <xf numFmtId="0" fontId="1" fillId="0" borderId="25" xfId="0" applyFont="1" applyFill="1" applyBorder="1" applyAlignment="1">
      <alignment horizontal="center" vertical="center" wrapText="1"/>
    </xf>
    <xf numFmtId="0" fontId="10" fillId="10" borderId="43" xfId="2" applyBorder="1" applyAlignment="1">
      <alignment horizontal="center"/>
    </xf>
    <xf numFmtId="0" fontId="0" fillId="6" borderId="26" xfId="0" applyFill="1" applyBorder="1" applyAlignment="1">
      <alignment horizontal="center" vertical="center" wrapText="1"/>
    </xf>
    <xf numFmtId="0" fontId="10" fillId="10" borderId="23" xfId="2" applyAlignment="1">
      <alignment horizontal="center" vertical="center" wrapText="1"/>
    </xf>
    <xf numFmtId="0" fontId="0" fillId="0" borderId="0" xfId="0" applyFont="1" applyFill="1"/>
    <xf numFmtId="0" fontId="3" fillId="0" borderId="18"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5" borderId="23" xfId="1" applyFont="1" applyFill="1" applyAlignment="1">
      <alignment horizontal="center" vertical="center" wrapText="1"/>
    </xf>
    <xf numFmtId="0" fontId="3" fillId="5" borderId="48" xfId="1" applyFont="1" applyFill="1" applyBorder="1" applyAlignment="1">
      <alignment horizontal="center" vertical="center" wrapText="1"/>
    </xf>
    <xf numFmtId="0" fontId="9" fillId="0" borderId="36" xfId="0" applyFont="1" applyBorder="1" applyAlignment="1">
      <alignment horizontal="center" wrapText="1"/>
    </xf>
    <xf numFmtId="0" fontId="9" fillId="5" borderId="10" xfId="1" quotePrefix="1" applyFont="1" applyFill="1" applyBorder="1" applyAlignment="1">
      <alignment horizontal="center" wrapText="1"/>
    </xf>
    <xf numFmtId="0" fontId="9" fillId="0" borderId="32" xfId="0" applyFont="1" applyBorder="1" applyAlignment="1">
      <alignment horizontal="center" wrapText="1"/>
    </xf>
    <xf numFmtId="0" fontId="3" fillId="0" borderId="29" xfId="0" applyFont="1" applyBorder="1" applyAlignment="1">
      <alignment horizontal="center" wrapText="1"/>
    </xf>
    <xf numFmtId="0" fontId="3" fillId="0" borderId="2" xfId="0" quotePrefix="1" applyFont="1" applyBorder="1" applyAlignment="1">
      <alignment horizontal="center" wrapText="1"/>
    </xf>
    <xf numFmtId="0" fontId="3" fillId="0" borderId="2" xfId="0" applyFont="1" applyBorder="1" applyAlignment="1">
      <alignment horizontal="center" wrapText="1"/>
    </xf>
    <xf numFmtId="0" fontId="3" fillId="0" borderId="2" xfId="0" applyFont="1" applyBorder="1" applyAlignment="1">
      <alignment horizontal="left" wrapText="1"/>
    </xf>
    <xf numFmtId="0" fontId="0" fillId="0" borderId="0" xfId="0" applyBorder="1" applyAlignment="1">
      <alignment horizontal="center"/>
    </xf>
    <xf numFmtId="0" fontId="10" fillId="10" borderId="23" xfId="2" applyBorder="1" applyAlignment="1">
      <alignment horizontal="center"/>
    </xf>
    <xf numFmtId="0" fontId="3" fillId="5" borderId="2" xfId="0" applyFont="1" applyFill="1" applyBorder="1" applyAlignment="1">
      <alignment horizontal="center"/>
    </xf>
    <xf numFmtId="0" fontId="3" fillId="0" borderId="26" xfId="0" quotePrefix="1" applyFont="1" applyBorder="1" applyAlignment="1">
      <alignment horizontal="center"/>
    </xf>
    <xf numFmtId="0" fontId="0" fillId="9" borderId="26" xfId="0" applyFill="1" applyBorder="1" applyAlignment="1">
      <alignment horizontal="center"/>
    </xf>
    <xf numFmtId="0" fontId="3" fillId="0" borderId="37" xfId="0" applyFont="1" applyBorder="1" applyAlignment="1">
      <alignment horizontal="center" vertical="center"/>
    </xf>
    <xf numFmtId="0" fontId="3" fillId="0" borderId="26" xfId="0" applyFont="1" applyBorder="1" applyAlignment="1">
      <alignment wrapText="1"/>
    </xf>
    <xf numFmtId="0" fontId="14" fillId="2" borderId="0" xfId="0" applyFont="1" applyFill="1" applyAlignment="1">
      <alignment horizontal="center"/>
    </xf>
    <xf numFmtId="0" fontId="0" fillId="0" borderId="21" xfId="0" applyFill="1" applyBorder="1" applyAlignment="1">
      <alignment horizontal="center" vertical="center" wrapText="1"/>
    </xf>
    <xf numFmtId="0" fontId="0" fillId="0" borderId="31" xfId="0"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0" fillId="10" borderId="41" xfId="2" applyBorder="1" applyAlignment="1">
      <alignment horizontal="center"/>
    </xf>
    <xf numFmtId="0" fontId="10" fillId="10" borderId="56" xfId="2" applyBorder="1" applyAlignment="1">
      <alignment horizontal="center"/>
    </xf>
    <xf numFmtId="0" fontId="3" fillId="0" borderId="2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9" fillId="0" borderId="25"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33" xfId="0" applyFont="1" applyFill="1" applyBorder="1" applyAlignment="1">
      <alignment horizontal="center" vertical="center"/>
    </xf>
    <xf numFmtId="0" fontId="1" fillId="0" borderId="6" xfId="0" applyFont="1" applyFill="1" applyBorder="1" applyAlignment="1">
      <alignment wrapText="1"/>
    </xf>
    <xf numFmtId="0" fontId="0" fillId="0" borderId="6" xfId="0" applyBorder="1" applyAlignment="1">
      <alignment wrapText="1"/>
    </xf>
    <xf numFmtId="0" fontId="1" fillId="0" borderId="0" xfId="0" applyFont="1" applyFill="1" applyBorder="1" applyAlignment="1">
      <alignment wrapText="1"/>
    </xf>
    <xf numFmtId="0" fontId="0" fillId="0" borderId="0" xfId="0" applyAlignment="1">
      <alignment wrapText="1"/>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9" fillId="0" borderId="27" xfId="0" applyNumberFormat="1" applyFont="1" applyBorder="1" applyAlignment="1">
      <alignment horizontal="center" vertical="center"/>
    </xf>
    <xf numFmtId="0" fontId="9" fillId="0" borderId="28" xfId="0" applyNumberFormat="1" applyFont="1" applyBorder="1" applyAlignment="1">
      <alignment horizontal="center" vertical="center"/>
    </xf>
    <xf numFmtId="0" fontId="9" fillId="0" borderId="31" xfId="0" applyNumberFormat="1" applyFont="1" applyBorder="1" applyAlignment="1">
      <alignment horizontal="center" vertical="center"/>
    </xf>
    <xf numFmtId="0" fontId="9" fillId="0" borderId="10" xfId="0" applyFont="1" applyBorder="1" applyAlignment="1">
      <alignment horizontal="center" wrapText="1"/>
    </xf>
    <xf numFmtId="0" fontId="9" fillId="0" borderId="2" xfId="0" applyFont="1" applyBorder="1" applyAlignment="1">
      <alignment horizontal="center" wrapText="1"/>
    </xf>
    <xf numFmtId="0" fontId="9" fillId="0" borderId="10" xfId="0" applyFont="1" applyBorder="1" applyAlignment="1">
      <alignment horizontal="center"/>
    </xf>
    <xf numFmtId="0" fontId="9" fillId="0" borderId="33" xfId="0" applyFont="1" applyBorder="1" applyAlignment="1">
      <alignment horizontal="center"/>
    </xf>
    <xf numFmtId="0" fontId="9" fillId="0" borderId="25" xfId="0" applyFont="1" applyBorder="1" applyAlignment="1">
      <alignment horizontal="center" vertical="center"/>
    </xf>
    <xf numFmtId="0" fontId="9" fillId="0" borderId="13" xfId="0" applyFont="1" applyBorder="1" applyAlignment="1">
      <alignment horizontal="center" vertical="center"/>
    </xf>
    <xf numFmtId="0" fontId="0" fillId="0" borderId="33" xfId="0" applyBorder="1" applyAlignment="1">
      <alignment horizontal="center" vertical="center"/>
    </xf>
    <xf numFmtId="0" fontId="9" fillId="0" borderId="35" xfId="0" applyFont="1" applyBorder="1" applyAlignment="1">
      <alignment horizontal="center" vertical="center"/>
    </xf>
    <xf numFmtId="0" fontId="9" fillId="0" borderId="40" xfId="0" applyFont="1" applyBorder="1" applyAlignment="1">
      <alignment horizontal="center" vertical="center"/>
    </xf>
    <xf numFmtId="0" fontId="0" fillId="0" borderId="22" xfId="0" applyBorder="1" applyAlignment="1">
      <alignment horizontal="center" vertical="center"/>
    </xf>
    <xf numFmtId="0" fontId="9" fillId="0" borderId="35" xfId="0" applyFont="1" applyFill="1" applyBorder="1" applyAlignment="1">
      <alignment horizontal="center" vertical="center"/>
    </xf>
    <xf numFmtId="0" fontId="9" fillId="0" borderId="40"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31" xfId="0" applyFont="1" applyBorder="1" applyAlignment="1">
      <alignment horizontal="center" vertical="center"/>
    </xf>
    <xf numFmtId="0" fontId="9" fillId="0" borderId="10" xfId="0" applyFont="1" applyBorder="1" applyAlignment="1">
      <alignment horizontal="left" vertical="center" wrapText="1"/>
    </xf>
    <xf numFmtId="0" fontId="9" fillId="0" borderId="33" xfId="0" applyFont="1" applyBorder="1" applyAlignment="1">
      <alignment horizontal="left" vertical="center" wrapText="1"/>
    </xf>
    <xf numFmtId="0" fontId="3" fillId="0" borderId="45"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9" fillId="0" borderId="2" xfId="0" applyFont="1" applyBorder="1" applyAlignment="1">
      <alignment horizontal="center"/>
    </xf>
    <xf numFmtId="0" fontId="9" fillId="0" borderId="2" xfId="0" applyFont="1" applyBorder="1" applyAlignment="1">
      <alignment horizontal="left" vertical="center" wrapText="1"/>
    </xf>
    <xf numFmtId="0" fontId="3" fillId="0" borderId="24"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10" fillId="10" borderId="1" xfId="2" applyBorder="1" applyAlignment="1">
      <alignment horizontal="center"/>
    </xf>
    <xf numFmtId="0" fontId="10" fillId="10" borderId="28" xfId="2" applyBorder="1" applyAlignment="1">
      <alignment horizontal="center"/>
    </xf>
    <xf numFmtId="0" fontId="9" fillId="0" borderId="26" xfId="0" applyFont="1" applyBorder="1" applyAlignment="1">
      <alignment horizontal="center" vertical="center"/>
    </xf>
    <xf numFmtId="0" fontId="9" fillId="0" borderId="1" xfId="0" applyFont="1" applyBorder="1" applyAlignment="1">
      <alignment horizontal="center" vertical="center"/>
    </xf>
    <xf numFmtId="0" fontId="9" fillId="0" borderId="30" xfId="0" applyFont="1" applyBorder="1" applyAlignment="1">
      <alignment horizontal="center" vertical="center"/>
    </xf>
    <xf numFmtId="0" fontId="9" fillId="0" borderId="1" xfId="0" applyFont="1" applyBorder="1" applyAlignment="1">
      <alignment horizontal="center"/>
    </xf>
    <xf numFmtId="0" fontId="9" fillId="0" borderId="30" xfId="0" applyFont="1" applyBorder="1" applyAlignment="1">
      <alignment horizontal="center"/>
    </xf>
    <xf numFmtId="0" fontId="2" fillId="11" borderId="5" xfId="0" applyFont="1" applyFill="1" applyBorder="1" applyAlignment="1">
      <alignment horizontal="center"/>
    </xf>
    <xf numFmtId="0" fontId="2" fillId="11" borderId="6" xfId="0" applyFont="1" applyFill="1" applyBorder="1" applyAlignment="1">
      <alignment horizontal="center"/>
    </xf>
    <xf numFmtId="0" fontId="2" fillId="11" borderId="7" xfId="0" applyFont="1" applyFill="1" applyBorder="1" applyAlignment="1">
      <alignment horizontal="center"/>
    </xf>
    <xf numFmtId="0" fontId="2" fillId="11" borderId="17" xfId="0" applyFont="1" applyFill="1" applyBorder="1" applyAlignment="1">
      <alignment horizontal="center"/>
    </xf>
    <xf numFmtId="0" fontId="2" fillId="11" borderId="18" xfId="0" applyFont="1" applyFill="1" applyBorder="1" applyAlignment="1">
      <alignment horizontal="center"/>
    </xf>
    <xf numFmtId="0" fontId="2" fillId="11" borderId="19" xfId="0" applyFont="1" applyFill="1" applyBorder="1" applyAlignment="1">
      <alignment horizontal="center"/>
    </xf>
    <xf numFmtId="0" fontId="0" fillId="4" borderId="20" xfId="0" applyFill="1" applyBorder="1" applyAlignment="1">
      <alignment horizontal="center"/>
    </xf>
    <xf numFmtId="0" fontId="0" fillId="4" borderId="22" xfId="0" applyFill="1" applyBorder="1" applyAlignment="1">
      <alignment horizontal="center"/>
    </xf>
    <xf numFmtId="0" fontId="3" fillId="5" borderId="11" xfId="1" applyNumberFormat="1" applyFont="1" applyFill="1" applyBorder="1" applyAlignment="1">
      <alignment horizontal="center"/>
    </xf>
    <xf numFmtId="0" fontId="3" fillId="5" borderId="12" xfId="1" applyNumberFormat="1" applyFont="1" applyFill="1" applyBorder="1" applyAlignment="1">
      <alignment horizontal="center"/>
    </xf>
    <xf numFmtId="0" fontId="3" fillId="5" borderId="11" xfId="1" applyFont="1" applyFill="1" applyBorder="1" applyAlignment="1">
      <alignment horizontal="center"/>
    </xf>
    <xf numFmtId="0" fontId="3" fillId="5" borderId="12" xfId="1" applyFont="1" applyFill="1" applyBorder="1" applyAlignment="1">
      <alignment horizontal="center"/>
    </xf>
    <xf numFmtId="0" fontId="3" fillId="5" borderId="54" xfId="1" applyFont="1" applyFill="1" applyBorder="1" applyAlignment="1">
      <alignment horizontal="center"/>
    </xf>
    <xf numFmtId="0" fontId="3" fillId="5" borderId="55" xfId="1" applyFont="1" applyFill="1" applyBorder="1" applyAlignment="1">
      <alignment horizontal="center"/>
    </xf>
    <xf numFmtId="0" fontId="3" fillId="0" borderId="15" xfId="0" applyFont="1" applyBorder="1" applyAlignment="1">
      <alignment horizontal="left" vertical="center" wrapText="1"/>
    </xf>
    <xf numFmtId="0" fontId="0" fillId="0" borderId="0" xfId="0" applyBorder="1" applyAlignment="1">
      <alignment wrapText="1"/>
    </xf>
    <xf numFmtId="0" fontId="0" fillId="0" borderId="16" xfId="0" applyBorder="1" applyAlignment="1">
      <alignment wrapText="1"/>
    </xf>
    <xf numFmtId="0" fontId="0" fillId="0" borderId="15" xfId="0"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19" xfId="0" applyBorder="1" applyAlignment="1">
      <alignment wrapText="1"/>
    </xf>
    <xf numFmtId="49" fontId="3" fillId="5" borderId="11" xfId="1" applyNumberFormat="1" applyFont="1" applyFill="1" applyBorder="1" applyAlignment="1">
      <alignment horizontal="center"/>
    </xf>
    <xf numFmtId="49" fontId="3" fillId="5" borderId="12" xfId="1" applyNumberFormat="1" applyFont="1" applyFill="1" applyBorder="1" applyAlignment="1">
      <alignment horizontal="center"/>
    </xf>
    <xf numFmtId="0" fontId="9" fillId="0" borderId="33" xfId="0" applyFont="1" applyBorder="1" applyAlignment="1">
      <alignment horizontal="center" vertical="center"/>
    </xf>
    <xf numFmtId="0" fontId="2" fillId="0" borderId="1" xfId="0" applyFont="1" applyFill="1" applyBorder="1" applyAlignment="1">
      <alignment horizontal="center"/>
    </xf>
    <xf numFmtId="0" fontId="2" fillId="0" borderId="28" xfId="0" applyFont="1" applyFill="1" applyBorder="1" applyAlignment="1">
      <alignment horizontal="center"/>
    </xf>
    <xf numFmtId="0" fontId="4" fillId="6" borderId="5" xfId="0" applyFont="1" applyFill="1" applyBorder="1" applyAlignment="1">
      <alignment horizontal="left"/>
    </xf>
    <xf numFmtId="0" fontId="4" fillId="6" borderId="7" xfId="0" applyFont="1" applyFill="1" applyBorder="1" applyAlignment="1">
      <alignment horizontal="left"/>
    </xf>
    <xf numFmtId="0" fontId="3" fillId="6" borderId="8" xfId="0" applyFont="1" applyFill="1" applyBorder="1" applyAlignment="1">
      <alignment horizontal="left" vertical="center" wrapText="1"/>
    </xf>
    <xf numFmtId="0" fontId="3" fillId="6" borderId="9" xfId="0" applyFont="1" applyFill="1" applyBorder="1" applyAlignment="1">
      <alignment horizontal="left" vertical="center" wrapText="1"/>
    </xf>
    <xf numFmtId="0" fontId="0" fillId="5" borderId="20" xfId="0" applyFill="1" applyBorder="1" applyAlignment="1">
      <alignment horizontal="center"/>
    </xf>
    <xf numFmtId="0" fontId="0" fillId="5" borderId="21" xfId="0" applyFill="1" applyBorder="1" applyAlignment="1">
      <alignment horizontal="center"/>
    </xf>
    <xf numFmtId="0" fontId="0" fillId="9" borderId="20" xfId="0" applyFill="1" applyBorder="1" applyAlignment="1">
      <alignment horizontal="center"/>
    </xf>
    <xf numFmtId="0" fontId="0" fillId="9" borderId="21" xfId="0" applyFill="1" applyBorder="1" applyAlignment="1">
      <alignment horizontal="center"/>
    </xf>
    <xf numFmtId="0" fontId="3" fillId="0" borderId="26"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30" xfId="0" applyFill="1" applyBorder="1" applyAlignment="1">
      <alignment horizontal="center" vertical="center" wrapText="1"/>
    </xf>
    <xf numFmtId="0" fontId="9" fillId="6" borderId="15" xfId="0" applyFont="1" applyFill="1" applyBorder="1" applyAlignment="1">
      <alignment horizontal="left" vertical="top" wrapText="1"/>
    </xf>
    <xf numFmtId="0" fontId="3" fillId="5" borderId="1" xfId="0" applyFont="1" applyFill="1" applyBorder="1" applyAlignment="1">
      <alignment horizontal="center"/>
    </xf>
    <xf numFmtId="0" fontId="3" fillId="5" borderId="28" xfId="0" applyFont="1" applyFill="1" applyBorder="1" applyAlignment="1">
      <alignment horizontal="center"/>
    </xf>
    <xf numFmtId="0" fontId="1" fillId="0" borderId="25"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0" fontId="9" fillId="0" borderId="57" xfId="0" applyFont="1" applyBorder="1" applyAlignment="1">
      <alignment horizontal="center" vertical="center"/>
    </xf>
    <xf numFmtId="0" fontId="9" fillId="0" borderId="39" xfId="0" applyFont="1" applyBorder="1" applyAlignment="1">
      <alignment horizontal="center" vertical="center"/>
    </xf>
    <xf numFmtId="0" fontId="9" fillId="0" borderId="47" xfId="0" applyFont="1" applyBorder="1" applyAlignment="1">
      <alignment horizontal="center" vertical="center"/>
    </xf>
    <xf numFmtId="0" fontId="9" fillId="0" borderId="58" xfId="0" applyNumberFormat="1" applyFont="1" applyBorder="1" applyAlignment="1">
      <alignment horizontal="center" vertical="center"/>
    </xf>
    <xf numFmtId="0" fontId="9" fillId="0" borderId="59" xfId="0" applyNumberFormat="1" applyFont="1" applyBorder="1" applyAlignment="1">
      <alignment horizontal="center" vertical="center"/>
    </xf>
    <xf numFmtId="0" fontId="9" fillId="0" borderId="60" xfId="0" applyNumberFormat="1" applyFont="1" applyBorder="1" applyAlignment="1">
      <alignment horizontal="center" vertical="center"/>
    </xf>
    <xf numFmtId="0" fontId="9" fillId="0" borderId="61" xfId="0" applyNumberFormat="1" applyFont="1" applyBorder="1" applyAlignment="1">
      <alignment horizontal="center" vertical="center"/>
    </xf>
    <xf numFmtId="0" fontId="9" fillId="0" borderId="62" xfId="0" applyNumberFormat="1" applyFont="1" applyBorder="1" applyAlignment="1">
      <alignment horizontal="center" vertical="center"/>
    </xf>
    <xf numFmtId="0" fontId="9" fillId="0" borderId="51" xfId="0" applyNumberFormat="1" applyFont="1" applyBorder="1" applyAlignment="1">
      <alignment horizontal="center" vertical="center"/>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3" fillId="6" borderId="15" xfId="0" applyFont="1" applyFill="1" applyBorder="1" applyAlignment="1">
      <alignment horizontal="left" vertical="top" wrapText="1"/>
    </xf>
    <xf numFmtId="0" fontId="3" fillId="6" borderId="16" xfId="0" applyFont="1" applyFill="1" applyBorder="1" applyAlignment="1">
      <alignment horizontal="left" vertical="top" wrapText="1"/>
    </xf>
    <xf numFmtId="0" fontId="3" fillId="6" borderId="17" xfId="0" applyFont="1" applyFill="1" applyBorder="1" applyAlignment="1">
      <alignment horizontal="left" vertical="top" wrapText="1"/>
    </xf>
    <xf numFmtId="0" fontId="3" fillId="6" borderId="19" xfId="0" applyFont="1" applyFill="1" applyBorder="1" applyAlignment="1">
      <alignment horizontal="left" vertical="top" wrapText="1"/>
    </xf>
    <xf numFmtId="0" fontId="3" fillId="0" borderId="1" xfId="0" applyFont="1" applyFill="1" applyBorder="1" applyAlignment="1">
      <alignment horizontal="center" vertical="center" wrapText="1"/>
    </xf>
    <xf numFmtId="0" fontId="3" fillId="0" borderId="30" xfId="0" applyFont="1" applyFill="1" applyBorder="1" applyAlignment="1">
      <alignment horizontal="center" vertical="center" wrapText="1"/>
    </xf>
    <xf numFmtId="49" fontId="0" fillId="4" borderId="0" xfId="0" applyNumberFormat="1" applyFill="1" applyAlignment="1"/>
    <xf numFmtId="0" fontId="0" fillId="0" borderId="0" xfId="0" applyAlignment="1"/>
  </cellXfs>
  <cellStyles count="3">
    <cellStyle name="Calculation" xfId="2" builtinId="22"/>
    <cellStyle name="Input" xfId="1" builtinId="2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6</xdr:row>
      <xdr:rowOff>9525</xdr:rowOff>
    </xdr:from>
    <xdr:to>
      <xdr:col>1</xdr:col>
      <xdr:colOff>3543300</xdr:colOff>
      <xdr:row>7</xdr:row>
      <xdr:rowOff>0</xdr:rowOff>
    </xdr:to>
    <xdr:pic>
      <xdr:nvPicPr>
        <xdr:cNvPr id="5" name="Picture 6">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28650" y="1123950"/>
          <a:ext cx="3524250" cy="180975"/>
        </a:xfrm>
        <a:prstGeom prst="rect">
          <a:avLst/>
        </a:prstGeom>
        <a:noFill/>
      </xdr:spPr>
    </xdr:pic>
    <xdr:clientData/>
  </xdr:twoCellAnchor>
  <xdr:twoCellAnchor editAs="oneCell">
    <xdr:from>
      <xdr:col>1</xdr:col>
      <xdr:colOff>28575</xdr:colOff>
      <xdr:row>20</xdr:row>
      <xdr:rowOff>71099</xdr:rowOff>
    </xdr:from>
    <xdr:to>
      <xdr:col>1</xdr:col>
      <xdr:colOff>6753225</xdr:colOff>
      <xdr:row>32</xdr:row>
      <xdr:rowOff>114300</xdr:rowOff>
    </xdr:to>
    <xdr:pic>
      <xdr:nvPicPr>
        <xdr:cNvPr id="6" name="Picture 4">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38175" y="4004924"/>
          <a:ext cx="6724650" cy="2014876"/>
        </a:xfrm>
        <a:prstGeom prst="rect">
          <a:avLst/>
        </a:prstGeom>
        <a:noFill/>
      </xdr:spPr>
    </xdr:pic>
    <xdr:clientData/>
  </xdr:twoCellAnchor>
  <xdr:twoCellAnchor editAs="oneCell">
    <xdr:from>
      <xdr:col>1</xdr:col>
      <xdr:colOff>38100</xdr:colOff>
      <xdr:row>9</xdr:row>
      <xdr:rowOff>47626</xdr:rowOff>
    </xdr:from>
    <xdr:to>
      <xdr:col>1</xdr:col>
      <xdr:colOff>2647950</xdr:colOff>
      <xdr:row>18</xdr:row>
      <xdr:rowOff>117099</xdr:rowOff>
    </xdr:to>
    <xdr:pic>
      <xdr:nvPicPr>
        <xdr:cNvPr id="1026" name="Picture 2">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647700" y="1733551"/>
          <a:ext cx="2609850" cy="1583948"/>
        </a:xfrm>
        <a:prstGeom prst="rect">
          <a:avLst/>
        </a:prstGeom>
        <a:noFill/>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Codex_LPDDR1_200MHz.inc" connectionId="1" xr16:uid="{00000000-0016-0000-0200-000000000000}"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3"/>
  <sheetViews>
    <sheetView workbookViewId="0"/>
  </sheetViews>
  <sheetFormatPr defaultRowHeight="13.2" x14ac:dyDescent="0.25"/>
  <cols>
    <col min="2" max="2" width="103.88671875" customWidth="1"/>
  </cols>
  <sheetData>
    <row r="1" spans="1:7" x14ac:dyDescent="0.25">
      <c r="A1" s="18"/>
      <c r="B1" s="18"/>
      <c r="C1" s="18"/>
      <c r="D1" s="18"/>
      <c r="E1" s="18"/>
      <c r="F1" s="18"/>
      <c r="G1" s="18"/>
    </row>
    <row r="2" spans="1:7" ht="14.4" x14ac:dyDescent="0.3">
      <c r="A2" s="18"/>
      <c r="B2" s="214" t="s">
        <v>276</v>
      </c>
      <c r="C2" s="55"/>
      <c r="D2" s="55"/>
      <c r="E2" s="18"/>
      <c r="F2" s="18"/>
      <c r="G2" s="18"/>
    </row>
    <row r="3" spans="1:7" ht="14.4" x14ac:dyDescent="0.3">
      <c r="A3" s="18"/>
      <c r="B3" s="214"/>
      <c r="C3" s="55"/>
      <c r="D3" s="55"/>
      <c r="E3" s="18"/>
      <c r="F3" s="18"/>
      <c r="G3" s="18"/>
    </row>
    <row r="4" spans="1:7" ht="14.4" x14ac:dyDescent="0.3">
      <c r="A4" s="18"/>
      <c r="B4" s="214" t="s">
        <v>277</v>
      </c>
      <c r="C4" s="55"/>
      <c r="D4" s="55"/>
      <c r="E4" s="18"/>
      <c r="F4" s="18"/>
      <c r="G4" s="18"/>
    </row>
    <row r="5" spans="1:7" ht="14.4" x14ac:dyDescent="0.3">
      <c r="A5" s="18"/>
      <c r="B5" s="214"/>
      <c r="C5" s="55"/>
      <c r="D5" s="55"/>
      <c r="E5" s="18"/>
      <c r="F5" s="18"/>
      <c r="G5" s="18"/>
    </row>
    <row r="6" spans="1:7" ht="14.4" x14ac:dyDescent="0.3">
      <c r="A6" s="18"/>
      <c r="B6" s="214" t="s">
        <v>278</v>
      </c>
      <c r="C6" s="55"/>
      <c r="D6" s="55"/>
      <c r="E6" s="18"/>
      <c r="F6" s="18"/>
      <c r="G6" s="18"/>
    </row>
    <row r="7" spans="1:7" ht="14.4" x14ac:dyDescent="0.3">
      <c r="A7" s="18"/>
      <c r="B7" s="214"/>
      <c r="C7" s="55"/>
      <c r="D7" s="55"/>
      <c r="E7" s="18"/>
      <c r="F7" s="18"/>
      <c r="G7" s="18"/>
    </row>
    <row r="8" spans="1:7" ht="14.4" x14ac:dyDescent="0.3">
      <c r="A8" s="18"/>
      <c r="B8" s="214"/>
      <c r="C8" s="55"/>
      <c r="D8" s="55"/>
      <c r="E8" s="18"/>
      <c r="F8" s="18"/>
      <c r="G8" s="18"/>
    </row>
    <row r="9" spans="1:7" ht="14.4" x14ac:dyDescent="0.3">
      <c r="A9" s="18"/>
      <c r="B9" s="214" t="s">
        <v>279</v>
      </c>
      <c r="C9" s="55"/>
      <c r="D9" s="55"/>
      <c r="E9" s="18"/>
      <c r="F9" s="18"/>
      <c r="G9" s="18"/>
    </row>
    <row r="10" spans="1:7" ht="14.4" x14ac:dyDescent="0.3">
      <c r="A10" s="18"/>
      <c r="B10" s="214"/>
      <c r="C10" s="55"/>
      <c r="D10" s="55"/>
      <c r="E10" s="18"/>
      <c r="F10" s="18"/>
      <c r="G10" s="18"/>
    </row>
    <row r="11" spans="1:7" ht="14.4" x14ac:dyDescent="0.3">
      <c r="A11" s="18"/>
      <c r="B11" s="214"/>
      <c r="C11" s="55"/>
      <c r="D11" s="55"/>
      <c r="E11" s="18"/>
      <c r="F11" s="18"/>
      <c r="G11" s="18"/>
    </row>
    <row r="12" spans="1:7" x14ac:dyDescent="0.25">
      <c r="A12" s="18"/>
      <c r="B12" s="18"/>
      <c r="C12" s="55"/>
      <c r="D12" s="55"/>
      <c r="E12" s="18"/>
      <c r="F12" s="18"/>
      <c r="G12" s="18"/>
    </row>
    <row r="13" spans="1:7" x14ac:dyDescent="0.25">
      <c r="A13" s="18"/>
      <c r="B13" s="18"/>
      <c r="C13" s="55"/>
      <c r="D13" s="55"/>
      <c r="E13" s="18"/>
      <c r="F13" s="18"/>
      <c r="G13" s="18"/>
    </row>
    <row r="14" spans="1:7" x14ac:dyDescent="0.25">
      <c r="A14" s="18"/>
      <c r="B14" s="18"/>
      <c r="C14" s="55"/>
      <c r="D14" s="55"/>
      <c r="E14" s="18"/>
      <c r="F14" s="18"/>
      <c r="G14" s="18"/>
    </row>
    <row r="15" spans="1:7" x14ac:dyDescent="0.25">
      <c r="A15" s="18"/>
      <c r="B15" s="18"/>
      <c r="C15" s="55"/>
      <c r="D15" s="55"/>
      <c r="E15" s="18"/>
      <c r="F15" s="18"/>
      <c r="G15" s="18"/>
    </row>
    <row r="16" spans="1:7" x14ac:dyDescent="0.25">
      <c r="A16" s="18"/>
      <c r="B16" s="18"/>
      <c r="C16" s="55"/>
      <c r="D16" s="55"/>
      <c r="E16" s="18"/>
      <c r="F16" s="18"/>
      <c r="G16" s="18"/>
    </row>
    <row r="17" spans="1:7" x14ac:dyDescent="0.25">
      <c r="A17" s="18"/>
      <c r="B17" s="18"/>
      <c r="C17" s="55"/>
      <c r="D17" s="55"/>
      <c r="E17" s="18"/>
      <c r="F17" s="18"/>
      <c r="G17" s="18"/>
    </row>
    <row r="18" spans="1:7" x14ac:dyDescent="0.25">
      <c r="A18" s="18"/>
      <c r="B18" s="18"/>
      <c r="C18" s="55"/>
      <c r="D18" s="55"/>
      <c r="E18" s="18"/>
      <c r="F18" s="18"/>
      <c r="G18" s="18"/>
    </row>
    <row r="19" spans="1:7" x14ac:dyDescent="0.25">
      <c r="A19" s="18"/>
      <c r="B19" s="18"/>
      <c r="C19" s="55"/>
      <c r="D19" s="55"/>
      <c r="E19" s="18"/>
      <c r="F19" s="18"/>
      <c r="G19" s="18"/>
    </row>
    <row r="20" spans="1:7" ht="43.2" x14ac:dyDescent="0.3">
      <c r="A20" s="18"/>
      <c r="B20" s="214" t="s">
        <v>280</v>
      </c>
      <c r="C20" s="18"/>
      <c r="D20" s="18"/>
      <c r="E20" s="18"/>
      <c r="F20" s="18"/>
      <c r="G20" s="18"/>
    </row>
    <row r="21" spans="1:7" ht="14.4" x14ac:dyDescent="0.3">
      <c r="A21" s="18"/>
      <c r="B21" s="214"/>
      <c r="C21" s="18"/>
      <c r="D21" s="18"/>
      <c r="E21" s="18"/>
      <c r="F21" s="18"/>
      <c r="G21" s="18"/>
    </row>
    <row r="22" spans="1:7" x14ac:dyDescent="0.25">
      <c r="A22" s="18"/>
      <c r="B22" s="18"/>
      <c r="C22" s="18"/>
      <c r="D22" s="18"/>
      <c r="E22" s="18"/>
      <c r="F22" s="18"/>
      <c r="G22" s="18"/>
    </row>
    <row r="23" spans="1:7" x14ac:dyDescent="0.25">
      <c r="A23" s="18"/>
      <c r="B23" s="18"/>
      <c r="C23" s="18"/>
      <c r="D23" s="18"/>
      <c r="E23" s="18"/>
      <c r="F23" s="18"/>
      <c r="G23" s="18"/>
    </row>
    <row r="24" spans="1:7" x14ac:dyDescent="0.25">
      <c r="A24" s="18"/>
      <c r="B24" s="18"/>
      <c r="C24" s="18"/>
      <c r="D24" s="18"/>
      <c r="E24" s="18"/>
      <c r="F24" s="18"/>
      <c r="G24" s="18"/>
    </row>
    <row r="25" spans="1:7" x14ac:dyDescent="0.25">
      <c r="A25" s="18"/>
      <c r="B25" s="18"/>
      <c r="C25" s="18"/>
      <c r="D25" s="18"/>
      <c r="E25" s="18"/>
      <c r="F25" s="18"/>
      <c r="G25" s="18"/>
    </row>
    <row r="26" spans="1:7" x14ac:dyDescent="0.25">
      <c r="A26" s="18"/>
      <c r="B26" s="18"/>
      <c r="C26" s="18"/>
      <c r="D26" s="18"/>
      <c r="E26" s="18"/>
      <c r="F26" s="18"/>
      <c r="G26" s="18"/>
    </row>
    <row r="27" spans="1:7" x14ac:dyDescent="0.25">
      <c r="A27" s="18"/>
      <c r="B27" s="18"/>
      <c r="C27" s="18"/>
      <c r="D27" s="18"/>
      <c r="E27" s="18"/>
      <c r="F27" s="18"/>
      <c r="G27" s="18"/>
    </row>
    <row r="28" spans="1:7" x14ac:dyDescent="0.25">
      <c r="A28" s="18"/>
      <c r="B28" s="18"/>
      <c r="C28" s="18"/>
      <c r="D28" s="18"/>
      <c r="E28" s="18"/>
      <c r="F28" s="18"/>
      <c r="G28" s="18"/>
    </row>
    <row r="29" spans="1:7" x14ac:dyDescent="0.25">
      <c r="A29" s="18"/>
      <c r="B29" s="18"/>
      <c r="C29" s="18"/>
      <c r="D29" s="18"/>
      <c r="E29" s="18"/>
      <c r="F29" s="18"/>
      <c r="G29" s="18"/>
    </row>
    <row r="30" spans="1:7" x14ac:dyDescent="0.25">
      <c r="A30" s="18"/>
      <c r="B30" s="18"/>
      <c r="C30" s="18"/>
      <c r="D30" s="18"/>
      <c r="E30" s="18"/>
      <c r="F30" s="18"/>
      <c r="G30" s="18"/>
    </row>
    <row r="31" spans="1:7" x14ac:dyDescent="0.25">
      <c r="A31" s="18"/>
      <c r="B31" s="18"/>
      <c r="C31" s="18"/>
      <c r="D31" s="18"/>
      <c r="E31" s="18"/>
      <c r="F31" s="18"/>
      <c r="G31" s="18"/>
    </row>
    <row r="32" spans="1:7" x14ac:dyDescent="0.25">
      <c r="A32" s="18"/>
      <c r="B32" s="18"/>
      <c r="C32" s="18"/>
      <c r="D32" s="18"/>
      <c r="E32" s="18"/>
      <c r="F32" s="18"/>
      <c r="G32" s="18"/>
    </row>
    <row r="33" spans="1:7" x14ac:dyDescent="0.25">
      <c r="A33" s="18"/>
      <c r="B33" s="18"/>
      <c r="C33" s="18"/>
      <c r="D33" s="18"/>
      <c r="E33" s="18"/>
      <c r="F33" s="18"/>
      <c r="G33" s="18"/>
    </row>
    <row r="34" spans="1:7" ht="28.8" x14ac:dyDescent="0.3">
      <c r="A34" s="18"/>
      <c r="B34" s="214" t="s">
        <v>281</v>
      </c>
      <c r="C34" s="18"/>
      <c r="D34" s="18"/>
      <c r="E34" s="18"/>
      <c r="F34" s="18"/>
      <c r="G34" s="18"/>
    </row>
    <row r="35" spans="1:7" ht="14.4" x14ac:dyDescent="0.3">
      <c r="A35" s="18"/>
      <c r="B35" s="214"/>
      <c r="C35" s="18"/>
      <c r="D35" s="18"/>
      <c r="E35" s="18"/>
      <c r="F35" s="18"/>
      <c r="G35" s="18"/>
    </row>
    <row r="36" spans="1:7" ht="28.8" x14ac:dyDescent="0.3">
      <c r="A36" s="18"/>
      <c r="B36" s="214" t="s">
        <v>282</v>
      </c>
      <c r="C36" s="18"/>
      <c r="D36" s="18"/>
      <c r="E36" s="18"/>
      <c r="F36" s="18"/>
      <c r="G36" s="18"/>
    </row>
    <row r="37" spans="1:7" ht="14.4" x14ac:dyDescent="0.3">
      <c r="A37" s="18"/>
      <c r="B37" s="214"/>
      <c r="C37" s="18"/>
      <c r="D37" s="18"/>
      <c r="E37" s="18"/>
      <c r="F37" s="18"/>
      <c r="G37" s="18"/>
    </row>
    <row r="38" spans="1:7" ht="14.4" x14ac:dyDescent="0.3">
      <c r="A38" s="18"/>
      <c r="B38" s="214" t="s">
        <v>283</v>
      </c>
      <c r="C38" s="18"/>
      <c r="D38" s="18"/>
      <c r="E38" s="18"/>
      <c r="F38" s="18"/>
      <c r="G38" s="18"/>
    </row>
    <row r="39" spans="1:7" x14ac:dyDescent="0.25">
      <c r="A39" s="18"/>
      <c r="B39" s="18"/>
      <c r="C39" s="18"/>
      <c r="D39" s="18"/>
      <c r="E39" s="18"/>
      <c r="F39" s="18"/>
      <c r="G39" s="18"/>
    </row>
    <row r="40" spans="1:7" x14ac:dyDescent="0.25">
      <c r="A40" s="18"/>
      <c r="B40" s="50"/>
      <c r="C40" s="18"/>
      <c r="D40" s="18"/>
      <c r="E40" s="18"/>
      <c r="F40" s="18"/>
      <c r="G40" s="18"/>
    </row>
    <row r="41" spans="1:7" x14ac:dyDescent="0.25">
      <c r="A41" s="18"/>
      <c r="B41" s="18"/>
      <c r="C41" s="18"/>
      <c r="D41" s="18"/>
      <c r="E41" s="18"/>
      <c r="F41" s="18"/>
      <c r="G41" s="18"/>
    </row>
    <row r="42" spans="1:7" x14ac:dyDescent="0.25">
      <c r="A42" s="18"/>
      <c r="B42" s="18"/>
      <c r="C42" s="18"/>
      <c r="D42" s="18"/>
      <c r="E42" s="18"/>
      <c r="F42" s="18"/>
      <c r="G42" s="18"/>
    </row>
    <row r="43" spans="1:7" x14ac:dyDescent="0.25">
      <c r="A43" s="18"/>
      <c r="B43" s="18"/>
      <c r="C43" s="18"/>
      <c r="D43" s="18"/>
      <c r="E43" s="18"/>
      <c r="F43" s="18"/>
      <c r="G43" s="18"/>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P214"/>
  <sheetViews>
    <sheetView showGridLines="0" tabSelected="1" zoomScale="85" zoomScaleNormal="85" workbookViewId="0">
      <selection activeCell="B2" sqref="B2"/>
    </sheetView>
  </sheetViews>
  <sheetFormatPr defaultRowHeight="13.2" x14ac:dyDescent="0.25"/>
  <cols>
    <col min="1" max="1" width="3.44140625" style="18" customWidth="1"/>
    <col min="2" max="2" width="35.88671875" customWidth="1"/>
    <col min="3" max="3" width="15.5546875" customWidth="1"/>
    <col min="4" max="4" width="19" customWidth="1"/>
    <col min="5" max="5" width="13.88671875" style="1" customWidth="1"/>
    <col min="6" max="6" width="54.5546875" customWidth="1"/>
    <col min="7" max="7" width="19.44140625" style="1" customWidth="1"/>
    <col min="8" max="8" width="15" style="1" customWidth="1"/>
    <col min="9" max="9" width="11.6640625" style="1" customWidth="1"/>
    <col min="10" max="10" width="16.44140625" customWidth="1"/>
    <col min="11" max="11" width="12.109375" style="18" customWidth="1"/>
    <col min="12" max="12" width="16.5546875" style="18" customWidth="1"/>
    <col min="13" max="14" width="10" style="18" bestFit="1" customWidth="1"/>
    <col min="15" max="21" width="4.6640625" style="18" customWidth="1"/>
    <col min="22" max="22" width="9.109375" style="18"/>
  </cols>
  <sheetData>
    <row r="1" spans="1:42" x14ac:dyDescent="0.25">
      <c r="B1" s="19"/>
      <c r="C1" s="18"/>
      <c r="D1" s="18"/>
      <c r="E1" s="18"/>
      <c r="F1" s="18"/>
      <c r="G1" s="131"/>
      <c r="H1" s="18"/>
      <c r="I1" s="18"/>
      <c r="J1" s="18"/>
      <c r="W1" s="18"/>
      <c r="X1" s="18"/>
      <c r="Y1" s="18"/>
      <c r="Z1" s="18"/>
      <c r="AA1" s="18"/>
      <c r="AB1" s="18"/>
      <c r="AC1" s="18"/>
      <c r="AD1" s="18"/>
      <c r="AE1" s="18"/>
      <c r="AF1" s="18"/>
      <c r="AG1" s="18"/>
      <c r="AH1" s="18"/>
      <c r="AI1" s="18"/>
      <c r="AJ1" s="18"/>
      <c r="AK1" s="18"/>
      <c r="AL1" s="18"/>
      <c r="AM1" s="18"/>
      <c r="AN1" s="18"/>
      <c r="AO1" s="18"/>
      <c r="AP1" s="18"/>
    </row>
    <row r="2" spans="1:42" x14ac:dyDescent="0.25">
      <c r="B2" s="18"/>
      <c r="C2" s="18"/>
      <c r="D2" s="18"/>
      <c r="E2" s="18"/>
      <c r="F2" s="18"/>
      <c r="G2" s="131"/>
      <c r="H2" s="18"/>
      <c r="I2" s="18"/>
      <c r="J2" s="18"/>
      <c r="W2" s="18"/>
      <c r="X2" s="18"/>
      <c r="Y2" s="18"/>
      <c r="Z2" s="18"/>
      <c r="AA2" s="18"/>
      <c r="AB2" s="18"/>
      <c r="AC2" s="18"/>
      <c r="AD2" s="18"/>
      <c r="AE2" s="18"/>
      <c r="AF2" s="18"/>
      <c r="AG2" s="18"/>
      <c r="AH2" s="18"/>
      <c r="AI2" s="18"/>
      <c r="AJ2" s="18"/>
      <c r="AK2" s="18"/>
      <c r="AL2" s="18"/>
      <c r="AM2" s="18"/>
      <c r="AN2" s="18"/>
      <c r="AO2" s="18"/>
    </row>
    <row r="3" spans="1:42" s="21" customFormat="1" ht="35.4" x14ac:dyDescent="0.6">
      <c r="A3" s="23"/>
      <c r="C3" s="22" t="s">
        <v>426</v>
      </c>
      <c r="D3" s="20"/>
      <c r="E3" s="20"/>
      <c r="F3" s="20"/>
      <c r="G3" s="132"/>
      <c r="H3" s="20"/>
      <c r="I3" s="20"/>
      <c r="J3" s="20"/>
      <c r="K3" s="23"/>
      <c r="L3" s="23"/>
      <c r="M3" s="23"/>
      <c r="N3" s="23"/>
      <c r="O3" s="23"/>
      <c r="P3" s="23"/>
      <c r="Q3" s="23"/>
      <c r="R3" s="23"/>
      <c r="S3" s="23"/>
      <c r="T3" s="23"/>
      <c r="U3" s="23"/>
      <c r="V3" s="23"/>
      <c r="W3" s="20"/>
      <c r="X3" s="20"/>
      <c r="Y3" s="20"/>
      <c r="Z3" s="20"/>
      <c r="AA3" s="20"/>
      <c r="AB3" s="20"/>
      <c r="AC3" s="20"/>
      <c r="AD3" s="20"/>
      <c r="AE3" s="20"/>
      <c r="AF3" s="20"/>
      <c r="AG3" s="20"/>
      <c r="AH3" s="20"/>
      <c r="AI3" s="20"/>
      <c r="AJ3" s="20"/>
      <c r="AK3" s="20"/>
      <c r="AL3" s="20"/>
      <c r="AM3" s="20"/>
      <c r="AN3" s="20"/>
    </row>
    <row r="4" spans="1:42" s="21" customFormat="1" ht="30" x14ac:dyDescent="0.5">
      <c r="A4" s="23"/>
      <c r="C4" s="314" t="s">
        <v>527</v>
      </c>
      <c r="D4" s="314"/>
      <c r="E4" s="314"/>
      <c r="F4" s="314"/>
      <c r="G4" s="314"/>
      <c r="H4" s="20"/>
      <c r="I4" s="20"/>
      <c r="J4" s="20"/>
      <c r="K4" s="23"/>
      <c r="L4" s="23"/>
      <c r="M4" s="23"/>
      <c r="N4" s="23"/>
      <c r="O4" s="23"/>
      <c r="P4" s="23"/>
      <c r="Q4" s="23"/>
      <c r="R4" s="23"/>
      <c r="S4" s="23"/>
      <c r="T4" s="23"/>
      <c r="U4" s="23"/>
      <c r="V4" s="23"/>
      <c r="W4" s="20"/>
      <c r="X4" s="20"/>
      <c r="Y4" s="20"/>
      <c r="Z4" s="20"/>
      <c r="AA4" s="20"/>
      <c r="AB4" s="20"/>
      <c r="AC4" s="20"/>
      <c r="AD4" s="20"/>
      <c r="AE4" s="20"/>
      <c r="AF4" s="20"/>
      <c r="AG4" s="20"/>
      <c r="AH4" s="20"/>
      <c r="AI4" s="20"/>
      <c r="AJ4" s="20"/>
      <c r="AK4" s="20"/>
      <c r="AL4" s="20"/>
      <c r="AM4" s="20"/>
      <c r="AN4" s="20"/>
    </row>
    <row r="5" spans="1:42" s="18" customFormat="1" ht="13.8" thickBot="1" x14ac:dyDescent="0.3">
      <c r="E5" s="25"/>
      <c r="G5" s="25"/>
      <c r="H5" s="25"/>
      <c r="I5" s="25"/>
      <c r="AJ5" s="50" t="s">
        <v>73</v>
      </c>
      <c r="AN5" s="50"/>
    </row>
    <row r="6" spans="1:42" ht="15.6" x14ac:dyDescent="0.3">
      <c r="B6" s="44" t="s">
        <v>61</v>
      </c>
      <c r="C6" s="45"/>
      <c r="D6" s="45"/>
      <c r="E6" s="46"/>
      <c r="F6" s="44" t="s">
        <v>69</v>
      </c>
      <c r="G6" s="46"/>
      <c r="H6" s="25"/>
      <c r="I6" s="25"/>
      <c r="J6" s="18"/>
      <c r="AJ6" s="60" t="s">
        <v>74</v>
      </c>
      <c r="AK6" s="3" t="s">
        <v>52</v>
      </c>
      <c r="AL6" s="3" t="s">
        <v>62</v>
      </c>
      <c r="AN6" s="15" t="s">
        <v>74</v>
      </c>
      <c r="AO6" s="60" t="s">
        <v>76</v>
      </c>
    </row>
    <row r="7" spans="1:42" x14ac:dyDescent="0.25">
      <c r="B7" s="387" t="s">
        <v>68</v>
      </c>
      <c r="C7" s="388"/>
      <c r="D7" s="388"/>
      <c r="E7" s="389"/>
      <c r="F7" s="401" t="s">
        <v>71</v>
      </c>
      <c r="G7" s="403"/>
      <c r="H7" s="25"/>
      <c r="I7" s="25"/>
      <c r="J7" s="18"/>
      <c r="AJ7" s="15" t="s">
        <v>44</v>
      </c>
      <c r="AK7" s="3" t="s">
        <v>53</v>
      </c>
      <c r="AL7" s="3" t="s">
        <v>63</v>
      </c>
      <c r="AN7" s="15" t="s">
        <v>44</v>
      </c>
      <c r="AO7" s="60" t="s">
        <v>77</v>
      </c>
    </row>
    <row r="8" spans="1:42" x14ac:dyDescent="0.25">
      <c r="B8" s="390"/>
      <c r="C8" s="388"/>
      <c r="D8" s="388"/>
      <c r="E8" s="389"/>
      <c r="F8" s="401"/>
      <c r="G8" s="404"/>
      <c r="H8" s="25"/>
      <c r="I8" s="25"/>
      <c r="J8" s="18"/>
      <c r="AJ8" s="15" t="s">
        <v>45</v>
      </c>
      <c r="AK8" s="3" t="s">
        <v>54</v>
      </c>
      <c r="AL8" s="3" t="s">
        <v>64</v>
      </c>
      <c r="AN8" s="15" t="s">
        <v>45</v>
      </c>
      <c r="AO8" s="60" t="s">
        <v>78</v>
      </c>
    </row>
    <row r="9" spans="1:42" x14ac:dyDescent="0.25">
      <c r="B9" s="390"/>
      <c r="C9" s="388"/>
      <c r="D9" s="388"/>
      <c r="E9" s="389"/>
      <c r="F9" s="401" t="s">
        <v>80</v>
      </c>
      <c r="G9" s="405"/>
      <c r="H9" s="25"/>
      <c r="I9" s="25"/>
      <c r="J9" s="18"/>
      <c r="AJ9" s="15" t="s">
        <v>46</v>
      </c>
      <c r="AK9" s="3"/>
      <c r="AL9" s="3"/>
      <c r="AN9" s="15" t="s">
        <v>46</v>
      </c>
      <c r="AO9" s="60" t="s">
        <v>79</v>
      </c>
    </row>
    <row r="10" spans="1:42" x14ac:dyDescent="0.25">
      <c r="B10" s="390"/>
      <c r="C10" s="388"/>
      <c r="D10" s="388"/>
      <c r="E10" s="389"/>
      <c r="F10" s="401"/>
      <c r="G10" s="406"/>
      <c r="H10" s="25"/>
      <c r="I10" s="25"/>
      <c r="J10" s="18"/>
      <c r="AJ10" s="15" t="s">
        <v>47</v>
      </c>
      <c r="AK10" s="3"/>
      <c r="AL10" s="3"/>
      <c r="AN10" s="15" t="s">
        <v>47</v>
      </c>
      <c r="AO10" s="15"/>
    </row>
    <row r="11" spans="1:42" ht="52.8" x14ac:dyDescent="0.3">
      <c r="B11" s="390"/>
      <c r="C11" s="388"/>
      <c r="D11" s="388"/>
      <c r="E11" s="389"/>
      <c r="F11" s="209" t="s">
        <v>197</v>
      </c>
      <c r="G11" s="210" t="s">
        <v>196</v>
      </c>
      <c r="H11" s="25"/>
      <c r="I11" s="25"/>
      <c r="J11" s="18"/>
      <c r="AJ11" s="15" t="s">
        <v>48</v>
      </c>
      <c r="AK11" s="3"/>
      <c r="AL11" s="3"/>
      <c r="AN11" s="15"/>
      <c r="AO11" s="15"/>
    </row>
    <row r="12" spans="1:42" ht="39.6" x14ac:dyDescent="0.3">
      <c r="B12" s="390"/>
      <c r="C12" s="388"/>
      <c r="D12" s="388"/>
      <c r="E12" s="389"/>
      <c r="F12" s="209" t="s">
        <v>275</v>
      </c>
      <c r="G12" s="211"/>
      <c r="H12" s="25"/>
      <c r="I12" s="25"/>
      <c r="J12" s="18"/>
      <c r="AJ12" s="15"/>
      <c r="AK12" s="3"/>
      <c r="AL12" s="3"/>
      <c r="AN12" s="15"/>
      <c r="AO12" s="15"/>
    </row>
    <row r="13" spans="1:42" x14ac:dyDescent="0.25">
      <c r="B13" s="390"/>
      <c r="C13" s="388"/>
      <c r="D13" s="388"/>
      <c r="E13" s="389"/>
      <c r="F13" s="401" t="s">
        <v>70</v>
      </c>
      <c r="G13" s="379"/>
      <c r="H13" s="25"/>
      <c r="I13" s="25"/>
      <c r="J13" s="18"/>
      <c r="AJ13" s="59">
        <v>110</v>
      </c>
      <c r="AN13" s="15" t="s">
        <v>48</v>
      </c>
      <c r="AO13" s="15"/>
    </row>
    <row r="14" spans="1:42" ht="13.8" thickBot="1" x14ac:dyDescent="0.3">
      <c r="B14" s="391"/>
      <c r="C14" s="392"/>
      <c r="D14" s="392"/>
      <c r="E14" s="393"/>
      <c r="F14" s="402"/>
      <c r="G14" s="380"/>
      <c r="H14" s="25"/>
      <c r="I14" s="25"/>
      <c r="J14" s="18"/>
      <c r="AJ14" s="51" t="s">
        <v>49</v>
      </c>
      <c r="AN14" s="59">
        <v>110</v>
      </c>
      <c r="AO14" s="59"/>
    </row>
    <row r="15" spans="1:42" s="18" customFormat="1" ht="13.8" thickBot="1" x14ac:dyDescent="0.3">
      <c r="B15" s="50"/>
      <c r="E15" s="25"/>
      <c r="G15" s="25"/>
      <c r="H15" s="25"/>
      <c r="I15" s="25"/>
      <c r="AJ15"/>
      <c r="AN15" s="51" t="s">
        <v>49</v>
      </c>
      <c r="AO15" s="51"/>
    </row>
    <row r="16" spans="1:42" ht="15.6" x14ac:dyDescent="0.3">
      <c r="B16" s="44" t="s">
        <v>58</v>
      </c>
      <c r="C16" s="45"/>
      <c r="D16" s="53"/>
      <c r="E16" s="25"/>
      <c r="F16" s="399" t="s">
        <v>75</v>
      </c>
      <c r="G16" s="400"/>
      <c r="H16" s="25"/>
      <c r="I16" s="25"/>
      <c r="J16" s="18"/>
    </row>
    <row r="17" spans="2:36" x14ac:dyDescent="0.25">
      <c r="B17" s="47" t="s">
        <v>9</v>
      </c>
      <c r="C17" s="397" t="s">
        <v>427</v>
      </c>
      <c r="D17" s="398"/>
      <c r="E17" s="25"/>
      <c r="F17" s="431" t="s">
        <v>534</v>
      </c>
      <c r="G17" s="432"/>
      <c r="H17" s="25"/>
      <c r="I17" s="25"/>
      <c r="J17" s="18"/>
    </row>
    <row r="18" spans="2:36" x14ac:dyDescent="0.25">
      <c r="B18" s="47" t="s">
        <v>65</v>
      </c>
      <c r="C18" s="394" t="s">
        <v>428</v>
      </c>
      <c r="D18" s="395"/>
      <c r="E18" s="25"/>
      <c r="F18" s="431"/>
      <c r="G18" s="432"/>
      <c r="H18" s="25"/>
      <c r="I18" s="25"/>
      <c r="J18" s="18"/>
    </row>
    <row r="19" spans="2:36" x14ac:dyDescent="0.25">
      <c r="B19" s="47" t="s">
        <v>10</v>
      </c>
      <c r="C19" s="394" t="s">
        <v>475</v>
      </c>
      <c r="D19" s="395"/>
      <c r="E19" s="25"/>
      <c r="F19" s="431"/>
      <c r="G19" s="432"/>
      <c r="H19" s="25"/>
      <c r="I19" s="25"/>
      <c r="J19" s="18"/>
    </row>
    <row r="20" spans="2:36" x14ac:dyDescent="0.25">
      <c r="B20" s="118" t="s">
        <v>332</v>
      </c>
      <c r="C20" s="381">
        <v>8</v>
      </c>
      <c r="D20" s="382"/>
      <c r="E20" s="25"/>
      <c r="F20" s="431"/>
      <c r="G20" s="432"/>
      <c r="H20" s="25"/>
      <c r="I20" s="25"/>
      <c r="J20" s="18"/>
    </row>
    <row r="21" spans="2:36" ht="15.6" x14ac:dyDescent="0.25">
      <c r="B21" s="47" t="s">
        <v>331</v>
      </c>
      <c r="C21" s="385">
        <v>2</v>
      </c>
      <c r="D21" s="386"/>
      <c r="E21" s="25"/>
      <c r="F21" s="431"/>
      <c r="G21" s="432"/>
      <c r="H21" s="25"/>
      <c r="I21" s="25"/>
      <c r="J21" s="18"/>
    </row>
    <row r="22" spans="2:36" ht="14.4" x14ac:dyDescent="0.3">
      <c r="B22" s="47" t="s">
        <v>284</v>
      </c>
      <c r="C22" s="366">
        <f>(C20*C21)</f>
        <v>16</v>
      </c>
      <c r="D22" s="367"/>
      <c r="E22" s="25"/>
      <c r="F22" s="431"/>
      <c r="G22" s="432"/>
      <c r="H22" s="25"/>
      <c r="I22" s="25"/>
      <c r="J22" s="18"/>
    </row>
    <row r="23" spans="2:36" ht="15.6" x14ac:dyDescent="0.25">
      <c r="B23" s="47" t="s">
        <v>228</v>
      </c>
      <c r="C23" s="383">
        <v>15</v>
      </c>
      <c r="D23" s="384"/>
      <c r="E23" s="25"/>
      <c r="F23" s="431"/>
      <c r="G23" s="432"/>
      <c r="H23" s="25"/>
      <c r="I23" s="25"/>
      <c r="J23" s="18"/>
    </row>
    <row r="24" spans="2:36" ht="15.6" x14ac:dyDescent="0.25">
      <c r="B24" s="47" t="s">
        <v>229</v>
      </c>
      <c r="C24" s="383">
        <v>10</v>
      </c>
      <c r="D24" s="384"/>
      <c r="E24" s="25"/>
      <c r="F24" s="431"/>
      <c r="G24" s="432"/>
      <c r="H24" s="25"/>
      <c r="I24" s="25"/>
      <c r="J24" s="18"/>
    </row>
    <row r="25" spans="2:36" ht="15.6" x14ac:dyDescent="0.25">
      <c r="B25" s="47" t="s">
        <v>230</v>
      </c>
      <c r="C25" s="383">
        <v>8</v>
      </c>
      <c r="D25" s="384"/>
      <c r="E25" s="25"/>
      <c r="F25" s="431"/>
      <c r="G25" s="432"/>
      <c r="H25" s="25"/>
      <c r="I25" s="25"/>
      <c r="J25" s="18"/>
    </row>
    <row r="26" spans="2:36" ht="15.6" x14ac:dyDescent="0.25">
      <c r="B26" s="48" t="s">
        <v>231</v>
      </c>
      <c r="C26" s="411">
        <v>32</v>
      </c>
      <c r="D26" s="412"/>
      <c r="E26" s="25"/>
      <c r="F26" s="431"/>
      <c r="G26" s="432"/>
      <c r="H26" s="25"/>
      <c r="I26" s="25"/>
      <c r="J26" s="18"/>
    </row>
    <row r="27" spans="2:36" ht="15.6" x14ac:dyDescent="0.25">
      <c r="B27" s="48" t="s">
        <v>227</v>
      </c>
      <c r="C27" s="383">
        <v>400</v>
      </c>
      <c r="D27" s="384"/>
      <c r="E27" s="25"/>
      <c r="F27" s="431"/>
      <c r="G27" s="432"/>
      <c r="H27" s="25"/>
      <c r="I27" s="25"/>
      <c r="J27" s="18"/>
    </row>
    <row r="28" spans="2:36" ht="15" thickBot="1" x14ac:dyDescent="0.35">
      <c r="B28" s="49" t="s">
        <v>60</v>
      </c>
      <c r="C28" s="319">
        <f>ROUNDDOWN((1/C27)*1000, 3)</f>
        <v>2.5</v>
      </c>
      <c r="D28" s="320"/>
      <c r="E28" s="25"/>
      <c r="F28" s="433"/>
      <c r="G28" s="434"/>
      <c r="H28" s="25"/>
      <c r="I28" s="25"/>
      <c r="J28" s="18"/>
      <c r="AJ28" s="18"/>
    </row>
    <row r="29" spans="2:36" ht="32.25" customHeight="1" x14ac:dyDescent="0.25">
      <c r="B29" s="330" t="s">
        <v>225</v>
      </c>
      <c r="C29" s="331"/>
      <c r="D29" s="331"/>
      <c r="E29" s="25"/>
      <c r="F29" s="24"/>
      <c r="G29" s="56"/>
      <c r="H29" s="25"/>
      <c r="I29" s="25"/>
      <c r="J29" s="18"/>
      <c r="AJ29" s="18"/>
    </row>
    <row r="30" spans="2:36" ht="22.5" customHeight="1" x14ac:dyDescent="0.25">
      <c r="B30" s="332" t="s">
        <v>226</v>
      </c>
      <c r="C30" s="333"/>
      <c r="D30" s="333"/>
      <c r="E30" s="25"/>
      <c r="F30" s="24"/>
      <c r="G30" s="56"/>
      <c r="H30" s="25"/>
      <c r="I30" s="25"/>
      <c r="J30" s="18"/>
      <c r="AJ30" s="18"/>
    </row>
    <row r="31" spans="2:36" x14ac:dyDescent="0.25">
      <c r="B31" s="332" t="s">
        <v>333</v>
      </c>
      <c r="C31" s="333"/>
      <c r="D31" s="333"/>
      <c r="E31" s="25"/>
      <c r="F31" s="24"/>
      <c r="G31" s="56"/>
      <c r="H31" s="25"/>
      <c r="I31" s="25"/>
      <c r="J31" s="18"/>
      <c r="AJ31" s="18"/>
    </row>
    <row r="32" spans="2:36" s="18" customFormat="1" ht="15" thickBot="1" x14ac:dyDescent="0.35">
      <c r="C32" s="52"/>
      <c r="E32" s="25"/>
      <c r="G32" s="25"/>
      <c r="H32" s="25"/>
      <c r="I32" s="25"/>
      <c r="AJ32"/>
    </row>
    <row r="33" spans="2:35" ht="40.200000000000003" thickBot="1" x14ac:dyDescent="0.3">
      <c r="B33" s="62" t="s">
        <v>187</v>
      </c>
      <c r="C33" s="197" t="s">
        <v>188</v>
      </c>
      <c r="D33" s="2" t="s">
        <v>51</v>
      </c>
      <c r="E33" s="2" t="s">
        <v>7</v>
      </c>
      <c r="F33" s="7" t="s">
        <v>1</v>
      </c>
      <c r="G33" s="133" t="s">
        <v>3</v>
      </c>
      <c r="H33" s="8" t="s">
        <v>40</v>
      </c>
      <c r="I33" s="8" t="s">
        <v>172</v>
      </c>
      <c r="J33" s="18"/>
      <c r="V33"/>
      <c r="AI33" s="16"/>
    </row>
    <row r="34" spans="2:35" ht="3.75" customHeight="1" thickBot="1" x14ac:dyDescent="0.3">
      <c r="B34" s="111"/>
      <c r="C34" s="171"/>
      <c r="D34" s="111"/>
      <c r="E34" s="111"/>
      <c r="F34" s="112"/>
      <c r="G34" s="113"/>
      <c r="H34" s="113"/>
      <c r="I34" s="113"/>
      <c r="J34" s="18"/>
      <c r="V34"/>
      <c r="AI34" s="16"/>
    </row>
    <row r="35" spans="2:35" s="127" customFormat="1" ht="41.4" thickBot="1" x14ac:dyDescent="0.3">
      <c r="B35" s="189" t="s">
        <v>180</v>
      </c>
      <c r="C35" s="172" t="s">
        <v>173</v>
      </c>
      <c r="D35" s="203">
        <v>1</v>
      </c>
      <c r="E35" s="172" t="str">
        <f>DEC2HEX((BIN2DEC(D35)*2^17),8)</f>
        <v>00020000</v>
      </c>
      <c r="F35" s="190" t="s">
        <v>191</v>
      </c>
      <c r="G35" s="177" t="s">
        <v>185</v>
      </c>
      <c r="H35" s="251" t="s">
        <v>429</v>
      </c>
      <c r="I35" s="173" t="str">
        <f>"0x"&amp;(DEC2HEX(HEX2DEC(E35),8))</f>
        <v>0x00020000</v>
      </c>
      <c r="AH35" s="14"/>
    </row>
    <row r="36" spans="2:35" s="127" customFormat="1" ht="31.2" thickBot="1" x14ac:dyDescent="0.3">
      <c r="B36" s="187" t="s">
        <v>182</v>
      </c>
      <c r="C36" s="136" t="s">
        <v>176</v>
      </c>
      <c r="D36" s="204">
        <v>0</v>
      </c>
      <c r="E36" s="136" t="str">
        <f>DEC2HEX((BIN2DEC(D36)*2^12),8)</f>
        <v>00000000</v>
      </c>
      <c r="F36" s="188" t="s">
        <v>189</v>
      </c>
      <c r="G36" s="174" t="s">
        <v>183</v>
      </c>
      <c r="H36" s="174" t="s">
        <v>431</v>
      </c>
      <c r="I36" s="137" t="str">
        <f>"0x"&amp;(DEC2HEX(HEX2DEC(E36),8))</f>
        <v>0x00000000</v>
      </c>
      <c r="AH36" s="14"/>
    </row>
    <row r="37" spans="2:35" s="127" customFormat="1" ht="25.5" customHeight="1" x14ac:dyDescent="0.25">
      <c r="B37" s="336" t="s">
        <v>404</v>
      </c>
      <c r="C37" s="145" t="s">
        <v>173</v>
      </c>
      <c r="D37" s="180">
        <v>0</v>
      </c>
      <c r="E37" s="145" t="str">
        <f>DEC2HEX((BIN2DEC(D37)*2^17),8)</f>
        <v>00000000</v>
      </c>
      <c r="F37" s="192" t="s">
        <v>190</v>
      </c>
      <c r="G37" s="413" t="s">
        <v>405</v>
      </c>
      <c r="H37" s="413" t="s">
        <v>434</v>
      </c>
      <c r="I37" s="418" t="str">
        <f>"0x"&amp;(DEC2HEX(HEX2DEC(E38)+HEX2DEC(E37),8))</f>
        <v>0x00000030</v>
      </c>
      <c r="AI37" s="14"/>
    </row>
    <row r="38" spans="2:35" s="127" customFormat="1" ht="41.4" thickBot="1" x14ac:dyDescent="0.3">
      <c r="B38" s="335"/>
      <c r="C38" s="148" t="s">
        <v>43</v>
      </c>
      <c r="D38" s="201">
        <v>110</v>
      </c>
      <c r="E38" s="140" t="str">
        <f>DEC2HEX((BIN2DEC(D38)*2^3),8)</f>
        <v>00000030</v>
      </c>
      <c r="F38" s="193" t="s">
        <v>50</v>
      </c>
      <c r="G38" s="318"/>
      <c r="H38" s="318"/>
      <c r="I38" s="316"/>
      <c r="AI38" s="14"/>
    </row>
    <row r="39" spans="2:35" s="127" customFormat="1" ht="54.6" thickBot="1" x14ac:dyDescent="0.3">
      <c r="B39" s="183" t="s">
        <v>436</v>
      </c>
      <c r="C39" s="175" t="s">
        <v>43</v>
      </c>
      <c r="D39" s="202">
        <v>110</v>
      </c>
      <c r="E39" s="176" t="str">
        <f>DEC2HEX((BIN2DEC(D39)*2^3),8)</f>
        <v>00000030</v>
      </c>
      <c r="F39" s="195" t="s">
        <v>50</v>
      </c>
      <c r="G39" s="178" t="s">
        <v>177</v>
      </c>
      <c r="H39" s="252" t="s">
        <v>435</v>
      </c>
      <c r="I39" s="137" t="str">
        <f>"0x"&amp;(DEC2HEX(HEX2DEC(E39),8))</f>
        <v>0x00000030</v>
      </c>
      <c r="AI39" s="14"/>
    </row>
    <row r="40" spans="2:35" s="127" customFormat="1" ht="41.4" thickBot="1" x14ac:dyDescent="0.3">
      <c r="B40" s="184" t="s">
        <v>441</v>
      </c>
      <c r="C40" s="179" t="s">
        <v>43</v>
      </c>
      <c r="D40" s="298">
        <v>110</v>
      </c>
      <c r="E40" s="185" t="str">
        <f>DEC2HEX((BIN2DEC(D40)*2^3),8)</f>
        <v>00000030</v>
      </c>
      <c r="F40" s="196" t="s">
        <v>50</v>
      </c>
      <c r="G40" s="186" t="s">
        <v>178</v>
      </c>
      <c r="H40" s="256" t="s">
        <v>440</v>
      </c>
      <c r="I40" s="173" t="str">
        <f>"0x"&amp;(DEC2HEX(HEX2DEC(E40),8))</f>
        <v>0x00000030</v>
      </c>
      <c r="AI40" s="14"/>
    </row>
    <row r="41" spans="2:35" s="127" customFormat="1" ht="72" thickBot="1" x14ac:dyDescent="0.3">
      <c r="B41" s="189" t="s">
        <v>179</v>
      </c>
      <c r="C41" s="172" t="s">
        <v>173</v>
      </c>
      <c r="D41" s="203">
        <v>1</v>
      </c>
      <c r="E41" s="172" t="str">
        <f>DEC2HEX((BIN2DEC(D41)*2^17),8)</f>
        <v>00020000</v>
      </c>
      <c r="F41" s="190" t="s">
        <v>192</v>
      </c>
      <c r="G41" s="177" t="s">
        <v>181</v>
      </c>
      <c r="H41" s="251" t="s">
        <v>437</v>
      </c>
      <c r="I41" s="173" t="str">
        <f>"0x"&amp;(DEC2HEX(HEX2DEC(E41),8))</f>
        <v>0x00020000</v>
      </c>
      <c r="AH41" s="14"/>
    </row>
    <row r="42" spans="2:35" s="127" customFormat="1" ht="102" customHeight="1" x14ac:dyDescent="0.25">
      <c r="B42" s="363" t="s">
        <v>406</v>
      </c>
      <c r="C42" s="254" t="s">
        <v>174</v>
      </c>
      <c r="D42" s="180">
        <v>0</v>
      </c>
      <c r="E42" s="254" t="str">
        <f>DEC2HEX((BIN2DEC(D42)*2^14),8)</f>
        <v>00000000</v>
      </c>
      <c r="F42" s="192" t="s">
        <v>193</v>
      </c>
      <c r="G42" s="416" t="s">
        <v>446</v>
      </c>
      <c r="H42" s="413" t="s">
        <v>447</v>
      </c>
      <c r="I42" s="418" t="str">
        <f>"0x"&amp;(DEC2HEX(HEX2DEC(E42)+HEX2DEC(E43)+HEX2DEC(E44)+HEX2DEC(E45),8))</f>
        <v>0x00003030</v>
      </c>
      <c r="AI42" s="14"/>
    </row>
    <row r="43" spans="2:35" s="127" customFormat="1" ht="25.5" customHeight="1" x14ac:dyDescent="0.25">
      <c r="B43" s="364"/>
      <c r="C43" s="255" t="s">
        <v>175</v>
      </c>
      <c r="D43" s="182">
        <v>1</v>
      </c>
      <c r="E43" s="64" t="str">
        <f>DEC2HEX((BIN2DEC(D43)*2^13),8)</f>
        <v>00002000</v>
      </c>
      <c r="F43" s="194" t="s">
        <v>194</v>
      </c>
      <c r="G43" s="417"/>
      <c r="H43" s="317"/>
      <c r="I43" s="419"/>
      <c r="AI43" s="14"/>
    </row>
    <row r="44" spans="2:35" s="127" customFormat="1" ht="30.6" x14ac:dyDescent="0.25">
      <c r="B44" s="364"/>
      <c r="C44" s="255" t="s">
        <v>176</v>
      </c>
      <c r="D44" s="181">
        <v>1</v>
      </c>
      <c r="E44" s="255" t="str">
        <f>DEC2HEX((BIN2DEC(D44)*2^12),8)</f>
        <v>00001000</v>
      </c>
      <c r="F44" s="191" t="s">
        <v>195</v>
      </c>
      <c r="G44" s="417"/>
      <c r="H44" s="317"/>
      <c r="I44" s="419"/>
      <c r="AI44" s="14"/>
    </row>
    <row r="45" spans="2:35" s="127" customFormat="1" ht="41.4" thickBot="1" x14ac:dyDescent="0.3">
      <c r="B45" s="365"/>
      <c r="C45" s="253" t="s">
        <v>43</v>
      </c>
      <c r="D45" s="202">
        <v>110</v>
      </c>
      <c r="E45" s="176" t="str">
        <f>DEC2HEX((BIN2DEC(D45)*2^3),8)</f>
        <v>00000030</v>
      </c>
      <c r="F45" s="195" t="s">
        <v>50</v>
      </c>
      <c r="G45" s="415"/>
      <c r="H45" s="318"/>
      <c r="I45" s="316"/>
      <c r="AI45" s="14"/>
    </row>
    <row r="46" spans="2:35" s="127" customFormat="1" ht="92.4" thickBot="1" x14ac:dyDescent="0.3">
      <c r="B46" s="189" t="s">
        <v>151</v>
      </c>
      <c r="C46" s="172" t="s">
        <v>186</v>
      </c>
      <c r="D46" s="172">
        <v>10</v>
      </c>
      <c r="E46" s="172" t="str">
        <f>DEC2HEX((BIN2DEC(D46)*2^18),8)</f>
        <v>00080000</v>
      </c>
      <c r="F46" s="190" t="s">
        <v>443</v>
      </c>
      <c r="G46" s="177" t="s">
        <v>184</v>
      </c>
      <c r="H46" s="291" t="s">
        <v>442</v>
      </c>
      <c r="I46" s="173" t="str">
        <f t="shared" ref="I46" si="0">"0x"&amp;(DEC2HEX(HEX2DEC(E46),8))</f>
        <v>0x00080000</v>
      </c>
      <c r="AH46" s="14"/>
    </row>
    <row r="47" spans="2:35" s="127" customFormat="1" ht="41.4" thickBot="1" x14ac:dyDescent="0.3">
      <c r="B47" s="187" t="s">
        <v>407</v>
      </c>
      <c r="C47" s="136" t="s">
        <v>43</v>
      </c>
      <c r="D47" s="200">
        <v>110</v>
      </c>
      <c r="E47" s="135" t="str">
        <f>DEC2HEX((BIN2DEC(D47)*2^3),8)</f>
        <v>00000030</v>
      </c>
      <c r="F47" s="188" t="s">
        <v>50</v>
      </c>
      <c r="G47" s="174" t="s">
        <v>439</v>
      </c>
      <c r="H47" s="174" t="s">
        <v>438</v>
      </c>
      <c r="I47" s="137" t="str">
        <f>"0x"&amp;(DEC2HEX(HEX2DEC(E47),8))</f>
        <v>0x00000030</v>
      </c>
      <c r="AI47" s="14"/>
    </row>
    <row r="48" spans="2:35" s="127" customFormat="1" ht="20.399999999999999" x14ac:dyDescent="0.25">
      <c r="B48" s="334" t="s">
        <v>408</v>
      </c>
      <c r="C48" s="65" t="s">
        <v>173</v>
      </c>
      <c r="D48" s="198">
        <v>0</v>
      </c>
      <c r="E48" s="65" t="str">
        <f>DEC2HEX((BIN2DEC(D48)*2^17),8)</f>
        <v>00000000</v>
      </c>
      <c r="F48" s="199" t="s">
        <v>190</v>
      </c>
      <c r="G48" s="317" t="s">
        <v>445</v>
      </c>
      <c r="H48" s="414" t="s">
        <v>444</v>
      </c>
      <c r="I48" s="315" t="str">
        <f>"0x"&amp;(DEC2HEX(HEX2DEC(E49)+HEX2DEC(E48),8))</f>
        <v>0x00000030</v>
      </c>
      <c r="AG48" s="14"/>
    </row>
    <row r="49" spans="1:36" s="127" customFormat="1" ht="41.4" thickBot="1" x14ac:dyDescent="0.3">
      <c r="B49" s="335"/>
      <c r="C49" s="148" t="s">
        <v>43</v>
      </c>
      <c r="D49" s="201">
        <v>110</v>
      </c>
      <c r="E49" s="140" t="str">
        <f>DEC2HEX((BIN2DEC(D49)*2^3),8)</f>
        <v>00000030</v>
      </c>
      <c r="F49" s="193" t="s">
        <v>50</v>
      </c>
      <c r="G49" s="318"/>
      <c r="H49" s="415"/>
      <c r="I49" s="316"/>
      <c r="AI49" s="14"/>
    </row>
    <row r="50" spans="1:36" s="127" customFormat="1" ht="41.4" thickBot="1" x14ac:dyDescent="0.3">
      <c r="B50" s="297" t="s">
        <v>448</v>
      </c>
      <c r="C50" s="136" t="s">
        <v>43</v>
      </c>
      <c r="D50" s="299">
        <v>110</v>
      </c>
      <c r="E50" s="135" t="str">
        <f>DEC2HEX((BIN2DEC(D50)*2^3),8)</f>
        <v>00000030</v>
      </c>
      <c r="F50" s="188" t="s">
        <v>50</v>
      </c>
      <c r="G50" s="174" t="s">
        <v>449</v>
      </c>
      <c r="H50" s="174" t="s">
        <v>450</v>
      </c>
      <c r="I50" s="137" t="str">
        <f>"0x"&amp;"000820"&amp;(DEC2HEX(HEX2DEC(E50),2))</f>
        <v>0x00082030</v>
      </c>
      <c r="AI50" s="14"/>
    </row>
    <row r="51" spans="1:36" s="127" customFormat="1" ht="13.8" thickBot="1" x14ac:dyDescent="0.3">
      <c r="A51" s="128"/>
      <c r="B51" s="296"/>
      <c r="C51" s="128"/>
      <c r="D51" s="128"/>
      <c r="E51" s="129"/>
      <c r="F51" s="128"/>
      <c r="G51" s="130"/>
      <c r="H51" s="128"/>
      <c r="I51" s="128"/>
      <c r="AI51" s="14"/>
    </row>
    <row r="52" spans="1:36" ht="27" thickBot="1" x14ac:dyDescent="0.3">
      <c r="B52" s="2" t="s">
        <v>127</v>
      </c>
      <c r="C52" s="2" t="s">
        <v>6</v>
      </c>
      <c r="D52" s="2" t="s">
        <v>8</v>
      </c>
      <c r="E52" s="2" t="s">
        <v>7</v>
      </c>
      <c r="F52" s="7" t="s">
        <v>1</v>
      </c>
      <c r="G52" s="133" t="s">
        <v>3</v>
      </c>
      <c r="H52" s="8" t="s">
        <v>4</v>
      </c>
      <c r="I52" s="8" t="s">
        <v>5</v>
      </c>
      <c r="J52" s="36"/>
      <c r="AJ52" s="18"/>
    </row>
    <row r="53" spans="1:36" ht="3" customHeight="1" thickBot="1" x14ac:dyDescent="0.3">
      <c r="B53" s="111"/>
      <c r="C53" s="111"/>
      <c r="D53" s="111"/>
      <c r="E53" s="111"/>
      <c r="F53" s="112"/>
      <c r="G53" s="113"/>
      <c r="H53" s="113"/>
      <c r="I53" s="113"/>
      <c r="J53" s="36"/>
      <c r="AJ53" s="18"/>
    </row>
    <row r="54" spans="1:36" s="127" customFormat="1" ht="79.2" x14ac:dyDescent="0.25">
      <c r="B54" s="142" t="s">
        <v>130</v>
      </c>
      <c r="C54" s="146" t="s">
        <v>0</v>
      </c>
      <c r="D54" s="293">
        <v>1</v>
      </c>
      <c r="E54" s="138" t="str">
        <f>DEC2HEX(((D54)*2^31),8)</f>
        <v>80000000</v>
      </c>
      <c r="F54" s="139" t="s">
        <v>416</v>
      </c>
      <c r="G54" s="407" t="s">
        <v>128</v>
      </c>
      <c r="H54" s="407" t="s">
        <v>129</v>
      </c>
      <c r="I54" s="418" t="str">
        <f>"0x"&amp;DEC2HEX((HEX2DEC(E54)+HEX2DEC(E55)+HEX2DEC(E56)+HEX2DEC(E57)+HEX2DEC(E58)+HEX2DEC(E59)), 8)</f>
        <v>0xC4190000</v>
      </c>
      <c r="J54" s="128"/>
      <c r="AJ54" s="14"/>
    </row>
    <row r="55" spans="1:36" s="127" customFormat="1" ht="79.2" x14ac:dyDescent="0.25">
      <c r="B55" s="143" t="s">
        <v>131</v>
      </c>
      <c r="C55" s="147" t="s">
        <v>0</v>
      </c>
      <c r="D55" s="294">
        <f>IF(C21=2,1,0)</f>
        <v>1</v>
      </c>
      <c r="E55" s="63" t="str">
        <f>DEC2HEX(((D55)*2^30),8)</f>
        <v>40000000</v>
      </c>
      <c r="F55" s="134" t="s">
        <v>417</v>
      </c>
      <c r="G55" s="408"/>
      <c r="H55" s="435"/>
      <c r="I55" s="419"/>
      <c r="J55" s="128"/>
      <c r="AJ55" s="14"/>
    </row>
    <row r="56" spans="1:36" s="127" customFormat="1" ht="39.6" x14ac:dyDescent="0.25">
      <c r="B56" s="143" t="s">
        <v>132</v>
      </c>
      <c r="C56" s="147" t="s">
        <v>0</v>
      </c>
      <c r="D56" s="207">
        <f>(C23-11)</f>
        <v>4</v>
      </c>
      <c r="E56" s="63" t="str">
        <f>DEC2HEX(((D56)*2^24),8)</f>
        <v>04000000</v>
      </c>
      <c r="F56" s="134" t="s">
        <v>136</v>
      </c>
      <c r="G56" s="408"/>
      <c r="H56" s="435"/>
      <c r="I56" s="419"/>
      <c r="J56" s="128"/>
      <c r="AJ56" s="14"/>
    </row>
    <row r="57" spans="1:36" s="127" customFormat="1" ht="39.6" x14ac:dyDescent="0.25">
      <c r="B57" s="143" t="s">
        <v>133</v>
      </c>
      <c r="C57" s="147" t="s">
        <v>0</v>
      </c>
      <c r="D57" s="207">
        <f>(C24-9)</f>
        <v>1</v>
      </c>
      <c r="E57" s="63" t="str">
        <f>DEC2HEX(((D57)*2^20),8)</f>
        <v>00100000</v>
      </c>
      <c r="F57" s="134" t="s">
        <v>137</v>
      </c>
      <c r="G57" s="408"/>
      <c r="H57" s="435"/>
      <c r="I57" s="419"/>
      <c r="J57" s="128"/>
      <c r="AJ57" s="14"/>
    </row>
    <row r="58" spans="1:36" s="127" customFormat="1" ht="79.2" x14ac:dyDescent="0.25">
      <c r="B58" s="143" t="s">
        <v>134</v>
      </c>
      <c r="C58" s="147" t="s">
        <v>0</v>
      </c>
      <c r="D58" s="294">
        <f>IF(C17="LPDDR3", 1, 0)</f>
        <v>1</v>
      </c>
      <c r="E58" s="63" t="str">
        <f>DEC2HEX(((D58)*2^19),8)</f>
        <v>00080000</v>
      </c>
      <c r="F58" s="134" t="s">
        <v>476</v>
      </c>
      <c r="G58" s="408"/>
      <c r="H58" s="435"/>
      <c r="I58" s="419"/>
      <c r="J58" s="128"/>
      <c r="AJ58" s="14"/>
    </row>
    <row r="59" spans="1:36" s="127" customFormat="1" ht="40.200000000000003" thickBot="1" x14ac:dyDescent="0.3">
      <c r="B59" s="144" t="s">
        <v>135</v>
      </c>
      <c r="C59" s="149" t="s">
        <v>0</v>
      </c>
      <c r="D59" s="208">
        <f>ROUNDDOWN((C26/32), 0)</f>
        <v>1</v>
      </c>
      <c r="E59" s="140" t="str">
        <f>DEC2HEX(((D59)*2^16),8)</f>
        <v>00010000</v>
      </c>
      <c r="F59" s="141" t="s">
        <v>138</v>
      </c>
      <c r="G59" s="409"/>
      <c r="H59" s="436"/>
      <c r="I59" s="316"/>
      <c r="J59" s="128"/>
      <c r="AJ59" s="14"/>
    </row>
    <row r="60" spans="1:36" ht="13.8" thickBot="1" x14ac:dyDescent="0.3">
      <c r="B60" s="10"/>
    </row>
    <row r="61" spans="1:36" ht="27" thickBot="1" x14ac:dyDescent="0.3">
      <c r="B61" s="27" t="s">
        <v>118</v>
      </c>
      <c r="C61" s="27" t="s">
        <v>2</v>
      </c>
      <c r="D61" s="27" t="s">
        <v>72</v>
      </c>
      <c r="E61" s="27" t="s">
        <v>7</v>
      </c>
      <c r="F61" s="28" t="s">
        <v>1</v>
      </c>
      <c r="G61" s="108" t="s">
        <v>3</v>
      </c>
      <c r="H61" s="29" t="s">
        <v>40</v>
      </c>
      <c r="I61" s="29" t="s">
        <v>5</v>
      </c>
      <c r="J61" s="109"/>
    </row>
    <row r="62" spans="1:36" ht="3" customHeight="1" thickBot="1" x14ac:dyDescent="0.3">
      <c r="B62" s="66"/>
      <c r="C62" s="68"/>
      <c r="D62" s="85"/>
      <c r="E62" s="67"/>
      <c r="F62" s="72"/>
      <c r="G62" s="61"/>
      <c r="H62" s="61"/>
      <c r="I62" s="70"/>
      <c r="J62" s="36"/>
    </row>
    <row r="63" spans="1:36" ht="26.4" x14ac:dyDescent="0.25">
      <c r="B63" s="73" t="s">
        <v>81</v>
      </c>
      <c r="C63" s="236" t="s">
        <v>0</v>
      </c>
      <c r="D63" s="285">
        <v>3</v>
      </c>
      <c r="E63" s="75" t="str">
        <f>DEC2HEX(((D63-1)*2^16),8)</f>
        <v>00020000</v>
      </c>
      <c r="F63" s="76" t="s">
        <v>307</v>
      </c>
      <c r="G63" s="344" t="s">
        <v>84</v>
      </c>
      <c r="H63" s="420" t="s">
        <v>85</v>
      </c>
      <c r="I63" s="423" t="str">
        <f>"0x"&amp;DEC2HEX((HEX2DEC(E63)+HEX2DEC(E64)+HEX2DEC(E65)), 8)</f>
        <v>0x00020012</v>
      </c>
      <c r="J63" s="410" t="s">
        <v>334</v>
      </c>
    </row>
    <row r="64" spans="1:36" ht="52.8" x14ac:dyDescent="0.25">
      <c r="B64" s="77" t="s">
        <v>82</v>
      </c>
      <c r="C64" s="230" t="s">
        <v>0</v>
      </c>
      <c r="D64" s="237">
        <v>2</v>
      </c>
      <c r="E64" s="249" t="str">
        <f>DEC2HEX((D64*2^3),8)</f>
        <v>00000010</v>
      </c>
      <c r="F64" s="71" t="s">
        <v>410</v>
      </c>
      <c r="G64" s="345"/>
      <c r="H64" s="421"/>
      <c r="I64" s="424"/>
      <c r="J64" s="410"/>
    </row>
    <row r="65" spans="1:36" ht="53.4" thickBot="1" x14ac:dyDescent="0.3">
      <c r="B65" s="86" t="s">
        <v>83</v>
      </c>
      <c r="C65" s="239" t="s">
        <v>0</v>
      </c>
      <c r="D65" s="238">
        <v>2</v>
      </c>
      <c r="E65" s="84" t="str">
        <f>DEC2HEX((D65*2^0),8)</f>
        <v>00000002</v>
      </c>
      <c r="F65" s="72" t="s">
        <v>411</v>
      </c>
      <c r="G65" s="345"/>
      <c r="H65" s="421"/>
      <c r="I65" s="425"/>
      <c r="J65" s="410"/>
    </row>
    <row r="66" spans="1:36" ht="79.2" x14ac:dyDescent="0.25">
      <c r="B66" s="89" t="s">
        <v>335</v>
      </c>
      <c r="C66" s="224" t="s">
        <v>0</v>
      </c>
      <c r="D66" s="281">
        <v>0</v>
      </c>
      <c r="E66" s="90" t="str">
        <f>DEC2HEX((D66*2^12),8)</f>
        <v>00000000</v>
      </c>
      <c r="F66" s="76" t="s">
        <v>477</v>
      </c>
      <c r="G66" s="345"/>
      <c r="H66" s="421"/>
      <c r="I66" s="426" t="str">
        <f>"0x"&amp;DEC2HEX((HEX2DEC(E63)+HEX2DEC(E64)+HEX2DEC(E65)+HEX2DEC(E66)+HEX2DEC(E67)+HEX2DEC(E68)), 8)</f>
        <v>0x00020052</v>
      </c>
      <c r="J66" s="410" t="s">
        <v>479</v>
      </c>
    </row>
    <row r="67" spans="1:36" ht="39.6" x14ac:dyDescent="0.25">
      <c r="B67" s="77" t="s">
        <v>336</v>
      </c>
      <c r="C67" s="230" t="s">
        <v>0</v>
      </c>
      <c r="D67" s="282">
        <v>0</v>
      </c>
      <c r="E67" s="249" t="str">
        <f>DEC2HEX((D67*2^8),8)</f>
        <v>00000000</v>
      </c>
      <c r="F67" s="35" t="s">
        <v>478</v>
      </c>
      <c r="G67" s="345"/>
      <c r="H67" s="421"/>
      <c r="I67" s="427"/>
      <c r="J67" s="410"/>
    </row>
    <row r="68" spans="1:36" ht="66.599999999999994" thickBot="1" x14ac:dyDescent="0.3">
      <c r="B68" s="79" t="s">
        <v>337</v>
      </c>
      <c r="C68" s="283" t="s">
        <v>0</v>
      </c>
      <c r="D68" s="284">
        <v>1</v>
      </c>
      <c r="E68" s="250" t="str">
        <f>DEC2HEX((D68*2^6),8)</f>
        <v>00000040</v>
      </c>
      <c r="F68" s="83" t="s">
        <v>338</v>
      </c>
      <c r="G68" s="396"/>
      <c r="H68" s="422"/>
      <c r="I68" s="428"/>
      <c r="J68" s="410"/>
    </row>
    <row r="69" spans="1:36" ht="14.4" x14ac:dyDescent="0.3">
      <c r="B69" s="89" t="s">
        <v>86</v>
      </c>
      <c r="C69" s="245" t="s">
        <v>0</v>
      </c>
      <c r="D69" s="240">
        <v>1</v>
      </c>
      <c r="E69" s="90" t="str">
        <f>DEC2HEX(((D69-1)*2^27),8)</f>
        <v>00000000</v>
      </c>
      <c r="F69" s="92" t="s">
        <v>480</v>
      </c>
      <c r="G69" s="368" t="s">
        <v>92</v>
      </c>
      <c r="H69" s="368" t="s">
        <v>93</v>
      </c>
      <c r="I69" s="337" t="str">
        <f>"0x"&amp;DEC2HEX((HEX2DEC(E69)+HEX2DEC(E70)+HEX2DEC(E71)+HEX2DEC(E72)+HEX2DEC(E73)+HEX2DEC(E74)), 8)</f>
        <v>0x00000000</v>
      </c>
      <c r="J69" s="36"/>
    </row>
    <row r="70" spans="1:36" x14ac:dyDescent="0.25">
      <c r="B70" s="77" t="s">
        <v>87</v>
      </c>
      <c r="C70" s="246" t="s">
        <v>0</v>
      </c>
      <c r="D70" s="241">
        <v>1</v>
      </c>
      <c r="E70" s="34" t="str">
        <f>DEC2HEX(((D70-1)*2^24),8)</f>
        <v>00000000</v>
      </c>
      <c r="F70" s="93" t="s">
        <v>481</v>
      </c>
      <c r="G70" s="369"/>
      <c r="H70" s="369"/>
      <c r="I70" s="338"/>
      <c r="J70" s="36"/>
    </row>
    <row r="71" spans="1:36" ht="14.4" x14ac:dyDescent="0.3">
      <c r="B71" s="77" t="s">
        <v>88</v>
      </c>
      <c r="C71" s="242" t="s">
        <v>0</v>
      </c>
      <c r="D71" s="244">
        <v>1</v>
      </c>
      <c r="E71" s="34" t="str">
        <f>DEC2HEX(((D71-1)*2^20),8)</f>
        <v>00000000</v>
      </c>
      <c r="F71" s="93" t="s">
        <v>482</v>
      </c>
      <c r="G71" s="369"/>
      <c r="H71" s="369"/>
      <c r="I71" s="338"/>
      <c r="J71" s="36"/>
    </row>
    <row r="72" spans="1:36" ht="14.4" x14ac:dyDescent="0.3">
      <c r="B72" s="77" t="s">
        <v>89</v>
      </c>
      <c r="C72" s="242" t="s">
        <v>0</v>
      </c>
      <c r="D72" s="244">
        <v>1</v>
      </c>
      <c r="E72" s="34" t="str">
        <f>DEC2HEX(((D72-1)*2^16),8)</f>
        <v>00000000</v>
      </c>
      <c r="F72" s="93" t="s">
        <v>483</v>
      </c>
      <c r="G72" s="369"/>
      <c r="H72" s="369"/>
      <c r="I72" s="338"/>
      <c r="J72" s="36"/>
    </row>
    <row r="73" spans="1:36" ht="14.4" x14ac:dyDescent="0.3">
      <c r="B73" s="77" t="s">
        <v>90</v>
      </c>
      <c r="C73" s="242" t="s">
        <v>0</v>
      </c>
      <c r="D73" s="244">
        <v>0</v>
      </c>
      <c r="E73" s="34" t="str">
        <f>DEC2HEX(((D73)*2^12),8)</f>
        <v>00000000</v>
      </c>
      <c r="F73" s="93" t="s">
        <v>484</v>
      </c>
      <c r="G73" s="369"/>
      <c r="H73" s="369"/>
      <c r="I73" s="338"/>
      <c r="J73" s="36"/>
    </row>
    <row r="74" spans="1:36" ht="27" thickBot="1" x14ac:dyDescent="0.3">
      <c r="B74" s="79" t="s">
        <v>91</v>
      </c>
      <c r="C74" s="243" t="s">
        <v>0</v>
      </c>
      <c r="D74" s="233">
        <v>0</v>
      </c>
      <c r="E74" s="82" t="str">
        <f>DEC2HEX((D74*2^4),8)</f>
        <v>00000000</v>
      </c>
      <c r="F74" s="94" t="s">
        <v>485</v>
      </c>
      <c r="G74" s="370"/>
      <c r="H74" s="370"/>
      <c r="I74" s="339"/>
      <c r="J74" s="36"/>
      <c r="AJ74" s="9"/>
    </row>
    <row r="75" spans="1:36" s="9" customFormat="1" ht="26.4" x14ac:dyDescent="0.25">
      <c r="A75" s="24"/>
      <c r="B75" s="89" t="s">
        <v>99</v>
      </c>
      <c r="C75" s="150">
        <v>210</v>
      </c>
      <c r="D75" s="74">
        <f>ROUNDUP((C75/C28),0)</f>
        <v>84</v>
      </c>
      <c r="E75" s="90" t="str">
        <f>DEC2HEX(((D75-1)*2^24),8)</f>
        <v>53000000</v>
      </c>
      <c r="F75" s="76" t="s">
        <v>308</v>
      </c>
      <c r="G75" s="368" t="s">
        <v>94</v>
      </c>
      <c r="H75" s="368" t="s">
        <v>95</v>
      </c>
      <c r="I75" s="353" t="str">
        <f>"0x"&amp;DEC2HEX((HEX2DEC(E75)+HEX2DEC(E76)+HEX2DEC(E77)+HEX2DEC(E78)+HEX2DEC(E79)+HEX2DEC(E80)), 8)</f>
        <v>0x53574333</v>
      </c>
      <c r="J75" s="54"/>
      <c r="K75" s="24"/>
      <c r="L75" s="24"/>
      <c r="M75" s="24"/>
      <c r="N75" s="24"/>
      <c r="O75" s="24"/>
      <c r="P75" s="24"/>
      <c r="Q75" s="24"/>
      <c r="R75" s="24"/>
      <c r="S75" s="24"/>
      <c r="T75" s="24"/>
      <c r="U75" s="24"/>
      <c r="V75" s="24"/>
      <c r="AJ75"/>
    </row>
    <row r="76" spans="1:36" ht="40.200000000000003" x14ac:dyDescent="0.3">
      <c r="B76" s="77" t="s">
        <v>309</v>
      </c>
      <c r="C76" s="286">
        <f>(C75+10)</f>
        <v>220</v>
      </c>
      <c r="D76" s="33">
        <f>ROUNDUP((C76/C28),0)</f>
        <v>88</v>
      </c>
      <c r="E76" s="34" t="str">
        <f>DEC2HEX(((D76-1)*2^16),8)</f>
        <v>00570000</v>
      </c>
      <c r="F76" s="35" t="s">
        <v>486</v>
      </c>
      <c r="G76" s="371"/>
      <c r="H76" s="369"/>
      <c r="I76" s="354"/>
      <c r="J76" s="36"/>
    </row>
    <row r="77" spans="1:36" ht="52.8" x14ac:dyDescent="0.25">
      <c r="B77" s="77" t="s">
        <v>96</v>
      </c>
      <c r="C77" s="88">
        <v>7.5</v>
      </c>
      <c r="D77" s="33">
        <f>ROUNDUP((C77/C28),0)</f>
        <v>3</v>
      </c>
      <c r="E77" s="34" t="str">
        <f>DEC2HEX(((D77-1)*2^13),8)</f>
        <v>00004000</v>
      </c>
      <c r="F77" s="35" t="s">
        <v>487</v>
      </c>
      <c r="G77" s="371"/>
      <c r="H77" s="369"/>
      <c r="I77" s="354"/>
      <c r="J77" s="36"/>
    </row>
    <row r="78" spans="1:36" ht="26.4" x14ac:dyDescent="0.25">
      <c r="B78" s="77" t="s">
        <v>97</v>
      </c>
      <c r="C78" s="222" t="s">
        <v>0</v>
      </c>
      <c r="D78" s="33">
        <v>2</v>
      </c>
      <c r="E78" s="34" t="str">
        <f>DEC2HEX(((D78-1)*2^9),8)</f>
        <v>00000200</v>
      </c>
      <c r="F78" s="35" t="s">
        <v>488</v>
      </c>
      <c r="G78" s="371"/>
      <c r="H78" s="369"/>
      <c r="I78" s="354"/>
      <c r="J78" s="36"/>
    </row>
    <row r="79" spans="1:36" ht="26.4" x14ac:dyDescent="0.25">
      <c r="B79" s="77" t="s">
        <v>142</v>
      </c>
      <c r="C79" s="88">
        <v>50</v>
      </c>
      <c r="D79" s="30">
        <f>ROUNDUP((C79/C28),0)</f>
        <v>20</v>
      </c>
      <c r="E79" s="34" t="str">
        <f>DEC2HEX(((D79-1)*2^4),8)</f>
        <v>00000130</v>
      </c>
      <c r="F79" s="35" t="s">
        <v>310</v>
      </c>
      <c r="G79" s="371"/>
      <c r="H79" s="369"/>
      <c r="I79" s="354"/>
      <c r="J79" s="36"/>
    </row>
    <row r="80" spans="1:36" ht="27" thickBot="1" x14ac:dyDescent="0.3">
      <c r="B80" s="79" t="s">
        <v>98</v>
      </c>
      <c r="C80" s="223" t="s">
        <v>0</v>
      </c>
      <c r="D80" s="91">
        <v>6</v>
      </c>
      <c r="E80" s="82" t="str">
        <f>DEC2HEX(((D80-3)*2^0),8)</f>
        <v>00000003</v>
      </c>
      <c r="F80" s="83" t="s">
        <v>489</v>
      </c>
      <c r="G80" s="372"/>
      <c r="H80" s="370"/>
      <c r="I80" s="355"/>
      <c r="J80" s="36"/>
    </row>
    <row r="81" spans="1:36" ht="26.4" x14ac:dyDescent="0.25">
      <c r="B81" s="89" t="s">
        <v>102</v>
      </c>
      <c r="C81" s="226" t="s">
        <v>0</v>
      </c>
      <c r="D81" s="74">
        <v>1</v>
      </c>
      <c r="E81" s="90" t="str">
        <f>DEC2HEX(((D81-1)*2^29),8)</f>
        <v>00000000</v>
      </c>
      <c r="F81" s="76" t="s">
        <v>490</v>
      </c>
      <c r="G81" s="327" t="s">
        <v>100</v>
      </c>
      <c r="H81" s="327" t="s">
        <v>101</v>
      </c>
      <c r="I81" s="350" t="str">
        <f>"0x"&amp;DEC2HEX((HEX2DEC(E81)+HEX2DEC(E82)+HEX2DEC(E83)+HEX2DEC(E84)+HEX2DEC(E85)+HEX2DEC(E86)+HEX2DEC(E87)+HEX2DEC(E88)), 8)</f>
        <v>0x00100B22</v>
      </c>
      <c r="J81" s="36"/>
    </row>
    <row r="82" spans="1:36" ht="26.4" x14ac:dyDescent="0.25">
      <c r="B82" s="78" t="s">
        <v>103</v>
      </c>
      <c r="C82" s="247" t="s">
        <v>0</v>
      </c>
      <c r="D82" s="40">
        <v>1</v>
      </c>
      <c r="E82" s="31" t="str">
        <f>DEC2HEX(((D82-1)*2^26),8)</f>
        <v>00000000</v>
      </c>
      <c r="F82" s="32" t="s">
        <v>491</v>
      </c>
      <c r="G82" s="328"/>
      <c r="H82" s="328"/>
      <c r="I82" s="351"/>
      <c r="J82" s="36"/>
    </row>
    <row r="83" spans="1:36" ht="26.4" x14ac:dyDescent="0.25">
      <c r="B83" s="78" t="s">
        <v>104</v>
      </c>
      <c r="C83" s="247" t="s">
        <v>0</v>
      </c>
      <c r="D83" s="96">
        <v>1</v>
      </c>
      <c r="E83" s="31" t="str">
        <f>DEC2HEX(((D83-1)*2^21),8)</f>
        <v>00000000</v>
      </c>
      <c r="F83" s="32" t="s">
        <v>492</v>
      </c>
      <c r="G83" s="328"/>
      <c r="H83" s="328"/>
      <c r="I83" s="351"/>
      <c r="J83" s="36"/>
    </row>
    <row r="84" spans="1:36" ht="26.4" x14ac:dyDescent="0.25">
      <c r="B84" s="78" t="s">
        <v>105</v>
      </c>
      <c r="C84" s="102">
        <v>42</v>
      </c>
      <c r="D84" s="96">
        <f>ROUNDUP((C84/C28),0)</f>
        <v>17</v>
      </c>
      <c r="E84" s="31" t="str">
        <f>DEC2HEX(((D84-1)*2^16),8)</f>
        <v>00100000</v>
      </c>
      <c r="F84" s="32" t="s">
        <v>311</v>
      </c>
      <c r="G84" s="328"/>
      <c r="H84" s="328"/>
      <c r="I84" s="351"/>
      <c r="J84" s="36"/>
    </row>
    <row r="85" spans="1:36" ht="26.4" x14ac:dyDescent="0.25">
      <c r="B85" s="98" t="s">
        <v>106</v>
      </c>
      <c r="C85" s="95" t="s">
        <v>0</v>
      </c>
      <c r="D85" s="248">
        <v>0</v>
      </c>
      <c r="E85" s="37" t="str">
        <f>DEC2HEX(((D85)*2^15),8)</f>
        <v>00000000</v>
      </c>
      <c r="F85" s="38" t="s">
        <v>493</v>
      </c>
      <c r="G85" s="328"/>
      <c r="H85" s="328"/>
      <c r="I85" s="351"/>
      <c r="J85" s="36"/>
    </row>
    <row r="86" spans="1:36" ht="26.4" x14ac:dyDescent="0.25">
      <c r="B86" s="99" t="s">
        <v>107</v>
      </c>
      <c r="C86" s="102">
        <v>15</v>
      </c>
      <c r="D86" s="96">
        <f>ROUNDUP((C86/C28),0)</f>
        <v>6</v>
      </c>
      <c r="E86" s="105" t="str">
        <f>DEC2HEX(((D86-1)*2^9),8)</f>
        <v>00000A00</v>
      </c>
      <c r="F86" s="69" t="s">
        <v>312</v>
      </c>
      <c r="G86" s="328"/>
      <c r="H86" s="328"/>
      <c r="I86" s="351"/>
      <c r="J86" s="36"/>
    </row>
    <row r="87" spans="1:36" ht="26.4" x14ac:dyDescent="0.25">
      <c r="B87" s="99" t="s">
        <v>108</v>
      </c>
      <c r="C87" s="100" t="s">
        <v>0</v>
      </c>
      <c r="D87" s="103">
        <v>10</v>
      </c>
      <c r="E87" s="105" t="str">
        <f>DEC2HEX(((D87-1)*2^5),8)</f>
        <v>00000120</v>
      </c>
      <c r="F87" s="69" t="s">
        <v>494</v>
      </c>
      <c r="G87" s="328"/>
      <c r="H87" s="328"/>
      <c r="I87" s="351"/>
      <c r="J87" s="36"/>
    </row>
    <row r="88" spans="1:36" ht="27" thickBot="1" x14ac:dyDescent="0.3">
      <c r="B88" s="79" t="s">
        <v>109</v>
      </c>
      <c r="C88" s="101" t="s">
        <v>0</v>
      </c>
      <c r="D88" s="104">
        <v>3</v>
      </c>
      <c r="E88" s="82" t="str">
        <f>DEC2HEX(((D88-1)*2^0),8)</f>
        <v>00000002</v>
      </c>
      <c r="F88" s="83" t="s">
        <v>495</v>
      </c>
      <c r="G88" s="329"/>
      <c r="H88" s="329"/>
      <c r="I88" s="352"/>
      <c r="J88" s="36"/>
    </row>
    <row r="89" spans="1:36" x14ac:dyDescent="0.25">
      <c r="B89" s="89" t="s">
        <v>112</v>
      </c>
      <c r="C89" s="106" t="s">
        <v>0</v>
      </c>
      <c r="D89" s="229">
        <v>200</v>
      </c>
      <c r="E89" s="90" t="str">
        <f>DEC2HEX(((D89-1)*2^16),8)</f>
        <v>00C70000</v>
      </c>
      <c r="F89" s="76" t="s">
        <v>496</v>
      </c>
      <c r="G89" s="344" t="s">
        <v>110</v>
      </c>
      <c r="H89" s="344" t="s">
        <v>111</v>
      </c>
      <c r="I89" s="347" t="str">
        <f>"0x"&amp;DEC2HEX((HEX2DEC(E89)+HEX2DEC(E90)+HEX2DEC(E92)+HEX2DEC(E94)), 8)</f>
        <v>0x00C700DB</v>
      </c>
      <c r="J89" s="36"/>
    </row>
    <row r="90" spans="1:36" ht="46.5" customHeight="1" x14ac:dyDescent="0.25">
      <c r="B90" s="300" t="s">
        <v>513</v>
      </c>
      <c r="C90" s="87">
        <v>7.5</v>
      </c>
      <c r="D90" s="340">
        <f>IF(ROUNDUP((C90/C28),0)&gt;C91, ROUNDUP((C90/C28),0), C91)</f>
        <v>4</v>
      </c>
      <c r="E90" s="342" t="str">
        <f>DEC2HEX(((D90-1)*2^6),8)</f>
        <v>000000C0</v>
      </c>
      <c r="F90" s="356" t="s">
        <v>517</v>
      </c>
      <c r="G90" s="345"/>
      <c r="H90" s="345"/>
      <c r="I90" s="348"/>
      <c r="J90" s="36"/>
    </row>
    <row r="91" spans="1:36" ht="40.5" customHeight="1" x14ac:dyDescent="0.25">
      <c r="B91" s="78" t="s">
        <v>514</v>
      </c>
      <c r="C91" s="87">
        <v>4</v>
      </c>
      <c r="D91" s="341"/>
      <c r="E91" s="361"/>
      <c r="F91" s="362"/>
      <c r="G91" s="345"/>
      <c r="H91" s="345"/>
      <c r="I91" s="348"/>
      <c r="J91" s="36"/>
    </row>
    <row r="92" spans="1:36" ht="41.25" customHeight="1" x14ac:dyDescent="0.25">
      <c r="B92" s="300" t="s">
        <v>515</v>
      </c>
      <c r="C92" s="107">
        <v>7.5</v>
      </c>
      <c r="D92" s="340">
        <f>IF(ROUNDUP((C92/C28),0)&gt;C93, ROUNDUP((C92/C28),0), C93)</f>
        <v>4</v>
      </c>
      <c r="E92" s="342" t="str">
        <f>DEC2HEX(((D92-1)*2^3),8)</f>
        <v>00000018</v>
      </c>
      <c r="F92" s="356" t="s">
        <v>518</v>
      </c>
      <c r="G92" s="345"/>
      <c r="H92" s="345"/>
      <c r="I92" s="348"/>
      <c r="J92" s="36"/>
    </row>
    <row r="93" spans="1:36" ht="45" customHeight="1" x14ac:dyDescent="0.25">
      <c r="B93" s="78" t="s">
        <v>516</v>
      </c>
      <c r="C93" s="301">
        <v>4</v>
      </c>
      <c r="D93" s="341"/>
      <c r="E93" s="361"/>
      <c r="F93" s="362"/>
      <c r="G93" s="345"/>
      <c r="H93" s="345"/>
      <c r="I93" s="348"/>
      <c r="J93" s="36"/>
    </row>
    <row r="94" spans="1:36" ht="45" customHeight="1" x14ac:dyDescent="0.25">
      <c r="B94" s="300" t="s">
        <v>520</v>
      </c>
      <c r="C94" s="301">
        <v>10</v>
      </c>
      <c r="D94" s="340">
        <f>IF(ROUNDUP((C94/C28),0)&gt;C95, ROUNDUP((C94/C28),0), C95)</f>
        <v>4</v>
      </c>
      <c r="E94" s="342" t="str">
        <f>DEC2HEX(((D94-1)*2^0),8)</f>
        <v>00000003</v>
      </c>
      <c r="F94" s="356" t="s">
        <v>519</v>
      </c>
      <c r="G94" s="345"/>
      <c r="H94" s="345"/>
      <c r="I94" s="348"/>
      <c r="J94" s="36"/>
    </row>
    <row r="95" spans="1:36" ht="38.25" customHeight="1" thickBot="1" x14ac:dyDescent="0.3">
      <c r="B95" s="302" t="s">
        <v>514</v>
      </c>
      <c r="C95" s="97">
        <v>2</v>
      </c>
      <c r="D95" s="341"/>
      <c r="E95" s="343"/>
      <c r="F95" s="357"/>
      <c r="G95" s="346"/>
      <c r="H95" s="346"/>
      <c r="I95" s="349"/>
      <c r="J95" s="36"/>
    </row>
    <row r="96" spans="1:36" s="9" customFormat="1" ht="79.2" x14ac:dyDescent="0.25">
      <c r="A96" s="24"/>
      <c r="B96" s="89" t="s">
        <v>289</v>
      </c>
      <c r="C96" s="224" t="s">
        <v>0</v>
      </c>
      <c r="D96" s="225">
        <v>4000</v>
      </c>
      <c r="E96" s="90" t="str">
        <f>DEC2HEX(((D96-1)*2^16),8)</f>
        <v>0F9F0000</v>
      </c>
      <c r="F96" s="76" t="s">
        <v>497</v>
      </c>
      <c r="G96" s="368" t="s">
        <v>288</v>
      </c>
      <c r="H96" s="368" t="s">
        <v>300</v>
      </c>
      <c r="I96" s="353" t="str">
        <f>"0x"&amp;DEC2HEX((HEX2DEC(E96)+HEX2DEC(E97)+HEX2DEC(E98)+HEX2DEC(E99)+HEX2DEC(E100)+HEX2DEC(E101)), 8)</f>
        <v>0x0F9F26D2</v>
      </c>
      <c r="J96" s="54"/>
      <c r="K96" s="24"/>
      <c r="L96" s="24"/>
      <c r="M96" s="24"/>
      <c r="N96" s="24"/>
      <c r="O96" s="24"/>
      <c r="P96" s="24"/>
      <c r="Q96" s="24"/>
      <c r="R96" s="24"/>
      <c r="S96" s="24"/>
      <c r="T96" s="24"/>
      <c r="U96" s="24"/>
      <c r="V96" s="24"/>
      <c r="AJ96"/>
    </row>
    <row r="97" spans="2:36" ht="26.4" x14ac:dyDescent="0.25">
      <c r="B97" s="77" t="s">
        <v>290</v>
      </c>
      <c r="C97" s="222" t="s">
        <v>0</v>
      </c>
      <c r="D97" s="33">
        <v>2</v>
      </c>
      <c r="E97" s="215" t="str">
        <f>DEC2HEX(((D97)*2^12),8)</f>
        <v>00002000</v>
      </c>
      <c r="F97" s="35" t="s">
        <v>295</v>
      </c>
      <c r="G97" s="371"/>
      <c r="H97" s="369"/>
      <c r="I97" s="354"/>
      <c r="J97" s="36"/>
    </row>
    <row r="98" spans="2:36" ht="26.4" x14ac:dyDescent="0.25">
      <c r="B98" s="77" t="s">
        <v>291</v>
      </c>
      <c r="C98" s="222" t="s">
        <v>0</v>
      </c>
      <c r="D98" s="33">
        <v>3</v>
      </c>
      <c r="E98" s="215" t="str">
        <f>DEC2HEX(((D98)*2^9),8)</f>
        <v>00000600</v>
      </c>
      <c r="F98" s="35" t="s">
        <v>296</v>
      </c>
      <c r="G98" s="371"/>
      <c r="H98" s="369"/>
      <c r="I98" s="354"/>
      <c r="J98" s="36"/>
    </row>
    <row r="99" spans="2:36" ht="26.4" x14ac:dyDescent="0.25">
      <c r="B99" s="77" t="s">
        <v>292</v>
      </c>
      <c r="C99" s="222" t="s">
        <v>0</v>
      </c>
      <c r="D99" s="33">
        <v>3</v>
      </c>
      <c r="E99" s="215" t="str">
        <f>DEC2HEX(((D99)*2^6),8)</f>
        <v>000000C0</v>
      </c>
      <c r="F99" s="35" t="s">
        <v>297</v>
      </c>
      <c r="G99" s="371"/>
      <c r="H99" s="369"/>
      <c r="I99" s="354"/>
      <c r="J99" s="36"/>
    </row>
    <row r="100" spans="2:36" ht="26.4" x14ac:dyDescent="0.25">
      <c r="B100" s="77" t="s">
        <v>293</v>
      </c>
      <c r="C100" s="222" t="s">
        <v>0</v>
      </c>
      <c r="D100" s="30">
        <v>2</v>
      </c>
      <c r="E100" s="215" t="str">
        <f>DEC2HEX(((D100)*2^3),8)</f>
        <v>00000010</v>
      </c>
      <c r="F100" s="35" t="s">
        <v>298</v>
      </c>
      <c r="G100" s="371"/>
      <c r="H100" s="369"/>
      <c r="I100" s="354"/>
      <c r="J100" s="36"/>
    </row>
    <row r="101" spans="2:36" ht="27" thickBot="1" x14ac:dyDescent="0.3">
      <c r="B101" s="79" t="s">
        <v>294</v>
      </c>
      <c r="C101" s="223" t="s">
        <v>0</v>
      </c>
      <c r="D101" s="81">
        <v>2</v>
      </c>
      <c r="E101" s="216" t="str">
        <f>DEC2HEX(((D101)*2^0),8)</f>
        <v>00000002</v>
      </c>
      <c r="F101" s="83" t="s">
        <v>299</v>
      </c>
      <c r="G101" s="372"/>
      <c r="H101" s="370"/>
      <c r="I101" s="355"/>
      <c r="J101" s="36"/>
    </row>
    <row r="102" spans="2:36" x14ac:dyDescent="0.25">
      <c r="B102" s="89" t="s">
        <v>115</v>
      </c>
      <c r="C102" s="226" t="s">
        <v>0</v>
      </c>
      <c r="D102" s="224">
        <v>160</v>
      </c>
      <c r="E102" s="90" t="str">
        <f>DEC2HEX(((D102-1)*2^16),8)</f>
        <v>009F0000</v>
      </c>
      <c r="F102" s="76" t="s">
        <v>498</v>
      </c>
      <c r="G102" s="344" t="s">
        <v>114</v>
      </c>
      <c r="H102" s="368" t="s">
        <v>113</v>
      </c>
      <c r="I102" s="353" t="str">
        <f>"0x"&amp;DEC2HEX((HEX2DEC(E102)+HEX2DEC(E103)+HEX2DEC(E104)), 8)</f>
        <v>0x009F0E10</v>
      </c>
      <c r="J102" s="36"/>
    </row>
    <row r="103" spans="2:36" ht="26.4" x14ac:dyDescent="0.25">
      <c r="B103" s="77" t="s">
        <v>116</v>
      </c>
      <c r="C103" s="39" t="s">
        <v>0</v>
      </c>
      <c r="D103" s="227">
        <v>13</v>
      </c>
      <c r="E103" s="34" t="str">
        <f>DEC2HEX(((D103+1)*2^8),8)</f>
        <v>00000E00</v>
      </c>
      <c r="F103" s="35" t="s">
        <v>499</v>
      </c>
      <c r="G103" s="345"/>
      <c r="H103" s="369"/>
      <c r="I103" s="354"/>
      <c r="J103" s="36"/>
    </row>
    <row r="104" spans="2:36" ht="27" thickBot="1" x14ac:dyDescent="0.3">
      <c r="B104" s="79" t="s">
        <v>117</v>
      </c>
      <c r="C104" s="80" t="s">
        <v>0</v>
      </c>
      <c r="D104" s="228">
        <v>14</v>
      </c>
      <c r="E104" s="82" t="str">
        <f>DEC2HEX(((D104+2)*2^0),8)</f>
        <v>00000010</v>
      </c>
      <c r="F104" s="83" t="s">
        <v>500</v>
      </c>
      <c r="G104" s="396"/>
      <c r="H104" s="370"/>
      <c r="I104" s="355"/>
      <c r="J104" s="36"/>
    </row>
    <row r="105" spans="2:36" ht="93" x14ac:dyDescent="0.3">
      <c r="B105" s="89" t="s">
        <v>303</v>
      </c>
      <c r="C105" s="286">
        <f>(C84+C107)</f>
        <v>60</v>
      </c>
      <c r="D105" s="231">
        <f>ROUNDUP((C105/C28 ),0)</f>
        <v>24</v>
      </c>
      <c r="E105" s="90" t="str">
        <f>DEC2HEX(((D105-1)*2^16),8)</f>
        <v>00170000</v>
      </c>
      <c r="F105" s="76" t="s">
        <v>501</v>
      </c>
      <c r="G105" s="344" t="s">
        <v>302</v>
      </c>
      <c r="H105" s="344" t="s">
        <v>301</v>
      </c>
      <c r="I105" s="347" t="str">
        <f>"0x"&amp;DEC2HEX((HEX2DEC(E105)+HEX2DEC(E106)+HEX2DEC(E107)+HEX2DEC(E108)), 8)</f>
        <v>0x00170778</v>
      </c>
      <c r="J105" s="36"/>
    </row>
    <row r="106" spans="2:36" ht="88.5" customHeight="1" x14ac:dyDescent="0.25">
      <c r="B106" s="77" t="s">
        <v>304</v>
      </c>
      <c r="C106" s="57">
        <v>18</v>
      </c>
      <c r="D106" s="232">
        <f>ROUNDUP((C106/C28),0)</f>
        <v>8</v>
      </c>
      <c r="E106" s="215" t="str">
        <f>DEC2HEX(((D106-1)*2^8),8)</f>
        <v>00000700</v>
      </c>
      <c r="F106" s="35" t="s">
        <v>502</v>
      </c>
      <c r="G106" s="345"/>
      <c r="H106" s="345"/>
      <c r="I106" s="348"/>
      <c r="J106" s="36"/>
    </row>
    <row r="107" spans="2:36" ht="92.4" x14ac:dyDescent="0.25">
      <c r="B107" s="77" t="s">
        <v>305</v>
      </c>
      <c r="C107" s="234">
        <v>18</v>
      </c>
      <c r="D107" s="232">
        <f>ROUNDUP((C107/C28),0)</f>
        <v>8</v>
      </c>
      <c r="E107" s="215" t="str">
        <f>DEC2HEX(((D107-1)*2^4),8)</f>
        <v>00000070</v>
      </c>
      <c r="F107" s="35" t="s">
        <v>503</v>
      </c>
      <c r="G107" s="345"/>
      <c r="H107" s="345"/>
      <c r="I107" s="348"/>
      <c r="J107" s="36"/>
    </row>
    <row r="108" spans="2:36" ht="93" thickBot="1" x14ac:dyDescent="0.3">
      <c r="B108" s="79" t="s">
        <v>306</v>
      </c>
      <c r="C108" s="235">
        <v>21</v>
      </c>
      <c r="D108" s="233">
        <f>ROUNDUP((C108/C28),0)</f>
        <v>9</v>
      </c>
      <c r="E108" s="216" t="str">
        <f>DEC2HEX(((D108-1)*2^0),8)</f>
        <v>00000008</v>
      </c>
      <c r="F108" s="83" t="s">
        <v>504</v>
      </c>
      <c r="G108" s="346"/>
      <c r="H108" s="346"/>
      <c r="I108" s="349"/>
      <c r="J108" s="36"/>
    </row>
    <row r="109" spans="2:36" x14ac:dyDescent="0.25">
      <c r="B109" s="217"/>
      <c r="C109" s="218"/>
      <c r="D109" s="221"/>
      <c r="E109" s="219"/>
      <c r="F109" s="220"/>
      <c r="G109" s="110"/>
      <c r="H109" s="110"/>
      <c r="I109" s="110"/>
      <c r="J109" s="36"/>
    </row>
    <row r="110" spans="2:36" ht="13.8" thickBot="1" x14ac:dyDescent="0.3">
      <c r="B110" s="26"/>
      <c r="C110" s="25"/>
      <c r="D110" s="25"/>
      <c r="E110" s="25"/>
      <c r="F110" s="55"/>
      <c r="G110" s="124"/>
      <c r="H110" s="110"/>
      <c r="I110" s="110"/>
      <c r="J110" s="36"/>
      <c r="AJ110" s="18"/>
    </row>
    <row r="111" spans="2:36" ht="27" thickBot="1" x14ac:dyDescent="0.3">
      <c r="B111" s="2" t="s">
        <v>127</v>
      </c>
      <c r="C111" s="2" t="s">
        <v>6</v>
      </c>
      <c r="D111" s="2" t="s">
        <v>8</v>
      </c>
      <c r="E111" s="2" t="s">
        <v>7</v>
      </c>
      <c r="F111" s="7" t="s">
        <v>1</v>
      </c>
      <c r="G111" s="133" t="s">
        <v>3</v>
      </c>
      <c r="H111" s="8" t="s">
        <v>4</v>
      </c>
      <c r="I111" s="8" t="s">
        <v>5</v>
      </c>
      <c r="J111" s="36"/>
      <c r="AJ111" s="18"/>
    </row>
    <row r="112" spans="2:36" ht="3" customHeight="1" thickBot="1" x14ac:dyDescent="0.3">
      <c r="B112" s="111"/>
      <c r="C112" s="111"/>
      <c r="D112" s="111"/>
      <c r="E112" s="111"/>
      <c r="F112" s="112"/>
      <c r="G112" s="113"/>
      <c r="H112" s="113"/>
      <c r="I112" s="113"/>
      <c r="J112" s="36"/>
      <c r="AJ112" s="18"/>
    </row>
    <row r="113" spans="2:36" ht="66" x14ac:dyDescent="0.25">
      <c r="B113" s="312" t="s">
        <v>521</v>
      </c>
      <c r="C113" s="310" t="s">
        <v>0</v>
      </c>
      <c r="D113" s="311">
        <v>1</v>
      </c>
      <c r="E113" s="152" t="str">
        <f>DEC2HEX(((D113)*2^21),8)</f>
        <v>00200000</v>
      </c>
      <c r="F113" s="313" t="s">
        <v>522</v>
      </c>
      <c r="G113" s="321" t="s">
        <v>139</v>
      </c>
      <c r="H113" s="321" t="s">
        <v>140</v>
      </c>
      <c r="I113" s="324" t="str">
        <f>"0x"&amp;DEC2HEX((HEX2DEC(E113)+HEX2DEC(E114)+HEX2DEC(E115)+HEX2DEC(E116)+HEX2DEC(E117)+HEX2DEC(E118)+HEX2DEC(E119)+HEX2DEC(E120)+HEX2DEC(E121)+HEX2DEC(E122)+HEX2DEC(E123)+HEX2DEC(E124)+HEX2DEC(E125)), 8)</f>
        <v>0x00201718</v>
      </c>
      <c r="J113" s="36"/>
      <c r="AJ113" s="18"/>
    </row>
    <row r="114" spans="2:36" ht="39.6" x14ac:dyDescent="0.25">
      <c r="B114" s="303" t="s">
        <v>141</v>
      </c>
      <c r="C114" s="304" t="s">
        <v>0</v>
      </c>
      <c r="D114" s="309">
        <v>0</v>
      </c>
      <c r="E114" s="305" t="str">
        <f>DEC2HEX(((D114)*2^20),8)</f>
        <v>00000000</v>
      </c>
      <c r="F114" s="306" t="s">
        <v>285</v>
      </c>
      <c r="G114" s="322"/>
      <c r="H114" s="322"/>
      <c r="I114" s="325"/>
      <c r="J114" s="36"/>
      <c r="AJ114" s="18"/>
    </row>
    <row r="115" spans="2:36" ht="26.4" x14ac:dyDescent="0.25">
      <c r="B115" s="153" t="s">
        <v>143</v>
      </c>
      <c r="C115" s="6" t="s">
        <v>0</v>
      </c>
      <c r="D115" s="307">
        <v>0</v>
      </c>
      <c r="E115" s="5" t="str">
        <f>DEC2HEX(((D115)*2^19),8)</f>
        <v>00000000</v>
      </c>
      <c r="F115" s="11" t="s">
        <v>505</v>
      </c>
      <c r="G115" s="322"/>
      <c r="H115" s="322"/>
      <c r="I115" s="325"/>
      <c r="J115" s="36"/>
      <c r="AJ115" s="18"/>
    </row>
    <row r="116" spans="2:36" ht="26.4" x14ac:dyDescent="0.25">
      <c r="B116" s="153" t="s">
        <v>144</v>
      </c>
      <c r="C116" s="6" t="s">
        <v>0</v>
      </c>
      <c r="D116" s="58">
        <v>0</v>
      </c>
      <c r="E116" s="5" t="str">
        <f>DEC2HEX(((D116)*2^18),8)</f>
        <v>00000000</v>
      </c>
      <c r="F116" s="11" t="s">
        <v>157</v>
      </c>
      <c r="G116" s="322"/>
      <c r="H116" s="322"/>
      <c r="I116" s="325"/>
      <c r="J116" s="36"/>
      <c r="AJ116" s="18"/>
    </row>
    <row r="117" spans="2:36" ht="52.8" x14ac:dyDescent="0.25">
      <c r="B117" s="153" t="s">
        <v>145</v>
      </c>
      <c r="C117" s="6" t="s">
        <v>0</v>
      </c>
      <c r="D117" s="58">
        <v>0</v>
      </c>
      <c r="E117" s="5" t="str">
        <f>DEC2HEX(((D117)*2^16),8)</f>
        <v>00000000</v>
      </c>
      <c r="F117" s="11" t="s">
        <v>286</v>
      </c>
      <c r="G117" s="322"/>
      <c r="H117" s="322"/>
      <c r="I117" s="325"/>
      <c r="J117" s="36"/>
      <c r="AJ117" s="18"/>
    </row>
    <row r="118" spans="2:36" ht="26.4" x14ac:dyDescent="0.25">
      <c r="B118" s="153" t="s">
        <v>146</v>
      </c>
      <c r="C118" s="6" t="s">
        <v>0</v>
      </c>
      <c r="D118" s="58">
        <v>1</v>
      </c>
      <c r="E118" s="5" t="str">
        <f>DEC2HEX(((D118)*2^12),8)</f>
        <v>00001000</v>
      </c>
      <c r="F118" s="11" t="s">
        <v>154</v>
      </c>
      <c r="G118" s="322"/>
      <c r="H118" s="322"/>
      <c r="I118" s="325"/>
      <c r="J118" s="36"/>
      <c r="AJ118" s="18"/>
    </row>
    <row r="119" spans="2:36" ht="79.2" x14ac:dyDescent="0.25">
      <c r="B119" s="153" t="s">
        <v>147</v>
      </c>
      <c r="C119" s="6" t="s">
        <v>0</v>
      </c>
      <c r="D119" s="58">
        <v>0</v>
      </c>
      <c r="E119" s="5" t="str">
        <f>DEC2HEX(((D119)*2^11),8)</f>
        <v>00000000</v>
      </c>
      <c r="F119" s="11" t="s">
        <v>287</v>
      </c>
      <c r="G119" s="322"/>
      <c r="H119" s="322"/>
      <c r="I119" s="325"/>
      <c r="J119" s="36"/>
      <c r="AJ119" s="18"/>
    </row>
    <row r="120" spans="2:36" ht="26.4" x14ac:dyDescent="0.25">
      <c r="B120" s="153" t="s">
        <v>148</v>
      </c>
      <c r="C120" s="6" t="s">
        <v>0</v>
      </c>
      <c r="D120" s="58">
        <v>3</v>
      </c>
      <c r="E120" s="5" t="str">
        <f>DEC2HEX(((D120)*2^9),8)</f>
        <v>00000600</v>
      </c>
      <c r="F120" s="11" t="s">
        <v>156</v>
      </c>
      <c r="G120" s="322"/>
      <c r="H120" s="322"/>
      <c r="I120" s="325"/>
      <c r="J120" s="36"/>
      <c r="AJ120" s="18"/>
    </row>
    <row r="121" spans="2:36" ht="198" x14ac:dyDescent="0.25">
      <c r="B121" s="153" t="s">
        <v>149</v>
      </c>
      <c r="C121" s="6" t="s">
        <v>0</v>
      </c>
      <c r="D121" s="58">
        <v>4</v>
      </c>
      <c r="E121" s="5" t="str">
        <f>DEC2HEX(((D121)*2^6),8)</f>
        <v>00000100</v>
      </c>
      <c r="F121" s="11" t="s">
        <v>506</v>
      </c>
      <c r="G121" s="322"/>
      <c r="H121" s="322"/>
      <c r="I121" s="325"/>
      <c r="J121" s="36"/>
      <c r="AJ121" s="18"/>
    </row>
    <row r="122" spans="2:36" ht="40.200000000000003" x14ac:dyDescent="0.3">
      <c r="B122" s="153" t="s">
        <v>150</v>
      </c>
      <c r="C122" s="6" t="s">
        <v>0</v>
      </c>
      <c r="D122" s="308">
        <f>ROUNDDOWN((4/C25),0)</f>
        <v>0</v>
      </c>
      <c r="E122" s="5" t="str">
        <f>DEC2HEX(((D122)*2^5),8)</f>
        <v>00000000</v>
      </c>
      <c r="F122" s="11" t="s">
        <v>412</v>
      </c>
      <c r="G122" s="322"/>
      <c r="H122" s="322"/>
      <c r="I122" s="325"/>
      <c r="J122" s="36"/>
      <c r="AJ122" s="18"/>
    </row>
    <row r="123" spans="2:36" ht="79.8" x14ac:dyDescent="0.3">
      <c r="B123" s="153" t="s">
        <v>151</v>
      </c>
      <c r="C123" s="6" t="s">
        <v>0</v>
      </c>
      <c r="D123" s="205">
        <f>IF(C17="LPDDR2", 1, 3)</f>
        <v>3</v>
      </c>
      <c r="E123" s="5" t="str">
        <f>DEC2HEX(((D123)*2^3),8)</f>
        <v>00000018</v>
      </c>
      <c r="F123" s="159" t="s">
        <v>523</v>
      </c>
      <c r="G123" s="322"/>
      <c r="H123" s="322"/>
      <c r="I123" s="325"/>
      <c r="J123" s="36"/>
      <c r="AJ123" s="18"/>
    </row>
    <row r="124" spans="2:36" x14ac:dyDescent="0.25">
      <c r="B124" s="153" t="s">
        <v>152</v>
      </c>
      <c r="C124" s="6" t="s">
        <v>0</v>
      </c>
      <c r="D124" s="4">
        <v>0</v>
      </c>
      <c r="E124" s="5" t="str">
        <f>DEC2HEX(((D124)*2^2),8)</f>
        <v>00000000</v>
      </c>
      <c r="F124" s="11" t="s">
        <v>507</v>
      </c>
      <c r="G124" s="322"/>
      <c r="H124" s="322"/>
      <c r="I124" s="325"/>
      <c r="J124" s="36"/>
      <c r="AJ124" s="18"/>
    </row>
    <row r="125" spans="2:36" ht="13.8" thickBot="1" x14ac:dyDescent="0.3">
      <c r="B125" s="156" t="s">
        <v>153</v>
      </c>
      <c r="C125" s="158" t="s">
        <v>0</v>
      </c>
      <c r="D125" s="154">
        <v>0</v>
      </c>
      <c r="E125" s="154" t="str">
        <f>DEC2HEX(((D125)*2^1),8)</f>
        <v>00000000</v>
      </c>
      <c r="F125" s="155" t="s">
        <v>155</v>
      </c>
      <c r="G125" s="323"/>
      <c r="H125" s="323"/>
      <c r="I125" s="326"/>
      <c r="J125" s="36"/>
      <c r="AJ125" s="18"/>
    </row>
    <row r="126" spans="2:36" ht="13.8" thickBot="1" x14ac:dyDescent="0.3">
      <c r="B126" s="26"/>
      <c r="C126" s="25"/>
      <c r="D126" s="25"/>
      <c r="E126" s="25"/>
      <c r="F126" s="55"/>
      <c r="G126" s="124"/>
      <c r="H126" s="110"/>
      <c r="I126" s="110"/>
      <c r="J126" s="36"/>
      <c r="AJ126" s="18"/>
    </row>
    <row r="127" spans="2:36" ht="27" thickBot="1" x14ac:dyDescent="0.3">
      <c r="B127" s="2" t="s">
        <v>119</v>
      </c>
      <c r="C127" s="2" t="s">
        <v>123</v>
      </c>
      <c r="D127" s="2" t="s">
        <v>8</v>
      </c>
      <c r="E127" s="2" t="s">
        <v>7</v>
      </c>
      <c r="F127" s="7" t="s">
        <v>1</v>
      </c>
      <c r="G127" s="133" t="s">
        <v>3</v>
      </c>
      <c r="H127" s="8" t="s">
        <v>4</v>
      </c>
      <c r="I127" s="8" t="s">
        <v>5</v>
      </c>
      <c r="J127" s="36"/>
      <c r="AJ127" s="18"/>
    </row>
    <row r="128" spans="2:36" ht="3.75" customHeight="1" thickBot="1" x14ac:dyDescent="0.3">
      <c r="B128" s="111"/>
      <c r="C128" s="111"/>
      <c r="D128" s="111"/>
      <c r="E128" s="111"/>
      <c r="F128" s="112"/>
      <c r="G128" s="113"/>
      <c r="H128" s="113"/>
      <c r="I128" s="113"/>
      <c r="J128" s="36"/>
      <c r="AJ128" s="18"/>
    </row>
    <row r="129" spans="2:36" ht="238.2" thickBot="1" x14ac:dyDescent="0.3">
      <c r="B129" s="117" t="s">
        <v>126</v>
      </c>
      <c r="C129" s="126">
        <v>8192</v>
      </c>
      <c r="D129" s="125">
        <f>((C129/2048)-1)</f>
        <v>3</v>
      </c>
      <c r="E129" s="114" t="str">
        <f>DEC2HEX(((D129)*2^11),8)</f>
        <v>00001800</v>
      </c>
      <c r="F129" s="120" t="s">
        <v>508</v>
      </c>
      <c r="G129" s="121" t="s">
        <v>124</v>
      </c>
      <c r="H129" s="115" t="s">
        <v>125</v>
      </c>
      <c r="I129" s="116" t="str">
        <f>"0x"&amp;DEC2HEX((HEX2DEC(E129)+ (0*2^14)),8)</f>
        <v>0x00001800</v>
      </c>
      <c r="J129" s="36"/>
      <c r="L129" s="18" t="s">
        <v>409</v>
      </c>
      <c r="AJ129" s="18"/>
    </row>
    <row r="130" spans="2:36" ht="13.8" thickBot="1" x14ac:dyDescent="0.3">
      <c r="B130" s="26"/>
      <c r="C130" s="25"/>
      <c r="D130" s="25"/>
      <c r="E130" s="25"/>
      <c r="F130" s="55"/>
      <c r="G130" s="124"/>
      <c r="H130" s="110"/>
      <c r="I130" s="110"/>
      <c r="J130" s="36"/>
      <c r="AJ130" s="18"/>
    </row>
    <row r="131" spans="2:36" ht="66.599999999999994" thickBot="1" x14ac:dyDescent="0.3">
      <c r="B131" s="2" t="s">
        <v>119</v>
      </c>
      <c r="C131" s="2" t="s">
        <v>120</v>
      </c>
      <c r="D131" s="2" t="s">
        <v>8</v>
      </c>
      <c r="E131" s="2" t="s">
        <v>7</v>
      </c>
      <c r="F131" s="7" t="s">
        <v>1</v>
      </c>
      <c r="G131" s="133" t="s">
        <v>3</v>
      </c>
      <c r="H131" s="8" t="s">
        <v>4</v>
      </c>
      <c r="I131" s="8" t="s">
        <v>5</v>
      </c>
      <c r="J131" s="36"/>
      <c r="AJ131" s="18"/>
    </row>
    <row r="132" spans="2:36" ht="3" customHeight="1" thickBot="1" x14ac:dyDescent="0.3">
      <c r="B132" s="111"/>
      <c r="C132" s="111"/>
      <c r="D132" s="111"/>
      <c r="E132" s="111"/>
      <c r="F132" s="112"/>
      <c r="G132" s="113"/>
      <c r="H132" s="113"/>
      <c r="I132" s="113"/>
      <c r="J132" s="36"/>
      <c r="AJ132" s="18"/>
    </row>
    <row r="133" spans="2:36" ht="120" thickBot="1" x14ac:dyDescent="0.35">
      <c r="B133" s="117" t="s">
        <v>313</v>
      </c>
      <c r="C133" s="206" t="str">
        <f>"0x"&amp;DEC2HEX(((C20*1024*1024*1024)/8+ 2048*1024*1024), 8)</f>
        <v>0xC0000000</v>
      </c>
      <c r="D133" s="119">
        <f>((((C20*1024*1024*1024)/8+ 2048*1024*1024)/(32*1024*1024))-1)</f>
        <v>95</v>
      </c>
      <c r="E133" s="114" t="str">
        <f>DEC2HEX(((D133)*2^0),8)</f>
        <v>0000005F</v>
      </c>
      <c r="F133" s="120" t="s">
        <v>314</v>
      </c>
      <c r="G133" s="121" t="s">
        <v>121</v>
      </c>
      <c r="H133" s="115" t="s">
        <v>122</v>
      </c>
      <c r="I133" s="116" t="str">
        <f>"0x"&amp;DEC2HEX((HEX2DEC(E133)), 8)</f>
        <v>0x0000005F</v>
      </c>
      <c r="J133" s="36"/>
      <c r="AJ133" s="18"/>
    </row>
    <row r="134" spans="2:36" s="18" customFormat="1" ht="14.4" x14ac:dyDescent="0.3">
      <c r="B134" s="122"/>
      <c r="C134" s="258"/>
      <c r="D134" s="24"/>
      <c r="E134" s="56"/>
      <c r="F134" s="123"/>
      <c r="G134" s="259"/>
      <c r="H134" s="259"/>
      <c r="I134" s="259"/>
      <c r="J134" s="36"/>
    </row>
    <row r="135" spans="2:36" ht="13.8" thickBot="1" x14ac:dyDescent="0.3">
      <c r="B135" s="122"/>
      <c r="C135" s="56"/>
      <c r="D135" s="9"/>
      <c r="E135" s="56"/>
      <c r="F135" s="123"/>
      <c r="G135" s="124"/>
      <c r="H135" s="110"/>
      <c r="I135" s="110"/>
      <c r="J135" s="36"/>
      <c r="AJ135" s="18"/>
    </row>
    <row r="136" spans="2:36" s="18" customFormat="1" x14ac:dyDescent="0.25">
      <c r="B136" s="373" t="s">
        <v>158</v>
      </c>
      <c r="C136" s="374"/>
      <c r="D136" s="374"/>
      <c r="E136" s="374"/>
      <c r="F136" s="374"/>
      <c r="G136" s="374"/>
      <c r="H136" s="374"/>
      <c r="I136" s="375"/>
    </row>
    <row r="137" spans="2:36" s="18" customFormat="1" ht="13.8" thickBot="1" x14ac:dyDescent="0.3">
      <c r="B137" s="376" t="s">
        <v>317</v>
      </c>
      <c r="C137" s="377"/>
      <c r="D137" s="377"/>
      <c r="E137" s="377"/>
      <c r="F137" s="377"/>
      <c r="G137" s="377"/>
      <c r="H137" s="377"/>
      <c r="I137" s="378"/>
    </row>
    <row r="138" spans="2:36" s="18" customFormat="1" x14ac:dyDescent="0.25">
      <c r="B138" s="260"/>
      <c r="C138" s="261"/>
      <c r="D138" s="261"/>
      <c r="E138" s="261"/>
      <c r="F138" s="261" t="s">
        <v>315</v>
      </c>
      <c r="G138" s="261"/>
      <c r="H138" s="261"/>
      <c r="I138" s="262"/>
    </row>
    <row r="139" spans="2:36" s="18" customFormat="1" x14ac:dyDescent="0.25">
      <c r="B139" s="260"/>
      <c r="C139" s="261"/>
      <c r="D139" s="261"/>
      <c r="E139" s="261"/>
      <c r="F139" s="261" t="s">
        <v>316</v>
      </c>
      <c r="G139" s="261"/>
      <c r="H139" s="261"/>
      <c r="I139" s="262"/>
    </row>
    <row r="140" spans="2:36" s="18" customFormat="1" ht="13.8" thickBot="1" x14ac:dyDescent="0.3">
      <c r="B140" s="263"/>
      <c r="C140" s="264"/>
      <c r="D140" s="264"/>
      <c r="E140" s="264"/>
      <c r="F140" s="264" t="s">
        <v>326</v>
      </c>
      <c r="G140" s="264"/>
      <c r="H140" s="264"/>
      <c r="I140" s="265"/>
    </row>
    <row r="141" spans="2:36" s="18" customFormat="1" ht="13.8" thickBot="1" x14ac:dyDescent="0.3">
      <c r="B141" s="50"/>
      <c r="E141" s="25"/>
      <c r="G141" s="25"/>
      <c r="H141" s="25"/>
      <c r="I141" s="25"/>
    </row>
    <row r="142" spans="2:36" s="18" customFormat="1" ht="13.8" thickBot="1" x14ac:dyDescent="0.3">
      <c r="B142" s="212" t="s">
        <v>168</v>
      </c>
      <c r="E142" s="25"/>
      <c r="G142" s="25"/>
      <c r="H142" s="25"/>
      <c r="I142" s="25"/>
    </row>
    <row r="143" spans="2:36" s="18" customFormat="1" ht="27" thickBot="1" x14ac:dyDescent="0.3">
      <c r="B143" s="2" t="s">
        <v>509</v>
      </c>
      <c r="C143" s="2" t="s">
        <v>6</v>
      </c>
      <c r="D143" s="2" t="s">
        <v>8</v>
      </c>
      <c r="E143" s="2" t="s">
        <v>7</v>
      </c>
      <c r="F143" s="7" t="s">
        <v>1</v>
      </c>
      <c r="G143" s="133" t="s">
        <v>3</v>
      </c>
      <c r="H143" s="8" t="s">
        <v>4</v>
      </c>
      <c r="I143" s="8" t="s">
        <v>5</v>
      </c>
    </row>
    <row r="144" spans="2:36" s="18" customFormat="1" ht="3" customHeight="1" thickBot="1" x14ac:dyDescent="0.3">
      <c r="B144" s="111"/>
      <c r="C144" s="111"/>
      <c r="D144" s="111"/>
      <c r="E144" s="111"/>
      <c r="F144" s="112"/>
      <c r="G144" s="113"/>
      <c r="H144" s="113"/>
      <c r="I144" s="113"/>
    </row>
    <row r="145" spans="2:9" s="18" customFormat="1" ht="66" x14ac:dyDescent="0.25">
      <c r="B145" s="151" t="s">
        <v>318</v>
      </c>
      <c r="C145" s="157" t="s">
        <v>0</v>
      </c>
      <c r="D145" s="168">
        <v>4</v>
      </c>
      <c r="E145" s="152" t="str">
        <f>DEC2HEX(((D145)*2^(29)),8)</f>
        <v>80000000</v>
      </c>
      <c r="F145" s="164" t="s">
        <v>413</v>
      </c>
      <c r="G145" s="358" t="s">
        <v>159</v>
      </c>
      <c r="H145" s="321" t="s">
        <v>160</v>
      </c>
      <c r="I145" s="324" t="str">
        <f>"0x"&amp;DEC2HEX((HEX2DEC(E145)+HEX2DEC(E146)+HEX2DEC(E147)+HEX2DEC(E148)+HEX2DEC(E149)+HEX2DEC(E150)+HEX2DEC(E151)+HEX2DEC(E152)+HEX2DEC(E153)+HEX2DEC(E154)), 8)</f>
        <v>0x83018030</v>
      </c>
    </row>
    <row r="146" spans="2:9" s="18" customFormat="1" x14ac:dyDescent="0.25">
      <c r="B146" s="153" t="s">
        <v>319</v>
      </c>
      <c r="C146" s="6" t="s">
        <v>0</v>
      </c>
      <c r="D146" s="276">
        <v>0</v>
      </c>
      <c r="E146" s="5" t="str">
        <f>DEC2HEX(((D146)*2^(28)),8)</f>
        <v>00000000</v>
      </c>
      <c r="F146" s="165" t="s">
        <v>328</v>
      </c>
      <c r="G146" s="359"/>
      <c r="H146" s="322"/>
      <c r="I146" s="325"/>
    </row>
    <row r="147" spans="2:9" s="18" customFormat="1" x14ac:dyDescent="0.25">
      <c r="B147" s="153" t="s">
        <v>320</v>
      </c>
      <c r="C147" s="6" t="s">
        <v>0</v>
      </c>
      <c r="D147" s="276">
        <v>0</v>
      </c>
      <c r="E147" s="5" t="str">
        <f>DEC2HEX(((D147)*2^(27)),8)</f>
        <v>00000000</v>
      </c>
      <c r="F147" s="165" t="s">
        <v>327</v>
      </c>
      <c r="G147" s="359"/>
      <c r="H147" s="322"/>
      <c r="I147" s="325"/>
    </row>
    <row r="148" spans="2:9" s="18" customFormat="1" ht="27.6" thickBot="1" x14ac:dyDescent="0.35">
      <c r="B148" s="169" t="s">
        <v>321</v>
      </c>
      <c r="C148" s="266" t="s">
        <v>0</v>
      </c>
      <c r="D148" s="205">
        <f>IF(C17="LPDDR2", 2, 3)</f>
        <v>3</v>
      </c>
      <c r="E148" s="170" t="str">
        <f>DEC2HEX(((D148)*2^(24)),8)</f>
        <v>03000000</v>
      </c>
      <c r="F148" s="257" t="s">
        <v>524</v>
      </c>
      <c r="G148" s="359"/>
      <c r="H148" s="322"/>
      <c r="I148" s="325"/>
    </row>
    <row r="149" spans="2:9" s="18" customFormat="1" ht="13.8" thickBot="1" x14ac:dyDescent="0.3">
      <c r="B149" s="267" t="s">
        <v>322</v>
      </c>
      <c r="C149" s="268" t="s">
        <v>0</v>
      </c>
      <c r="D149" s="269">
        <v>1</v>
      </c>
      <c r="E149" s="270" t="str">
        <f>DEC2HEX(((D149)*2^(16)),8)</f>
        <v>00010000</v>
      </c>
      <c r="F149" s="271" t="s">
        <v>510</v>
      </c>
      <c r="G149" s="359"/>
      <c r="H149" s="322"/>
      <c r="I149" s="325"/>
    </row>
    <row r="150" spans="2:9" s="18" customFormat="1" x14ac:dyDescent="0.25">
      <c r="B150" s="151" t="s">
        <v>161</v>
      </c>
      <c r="C150" s="157" t="s">
        <v>0</v>
      </c>
      <c r="D150" s="167">
        <v>1</v>
      </c>
      <c r="E150" s="152" t="str">
        <f>DEC2HEX(((D150)*2^15),8)</f>
        <v>00008000</v>
      </c>
      <c r="F150" s="164" t="s">
        <v>169</v>
      </c>
      <c r="G150" s="359"/>
      <c r="H150" s="322"/>
      <c r="I150" s="325"/>
    </row>
    <row r="151" spans="2:9" s="18" customFormat="1" x14ac:dyDescent="0.25">
      <c r="B151" s="153" t="s">
        <v>162</v>
      </c>
      <c r="C151" s="6" t="s">
        <v>0</v>
      </c>
      <c r="D151" s="4">
        <v>0</v>
      </c>
      <c r="E151" s="5" t="str">
        <f>DEC2HEX(((D151)*2^9),8)</f>
        <v>00000000</v>
      </c>
      <c r="F151" s="165" t="s">
        <v>170</v>
      </c>
      <c r="G151" s="359"/>
      <c r="H151" s="322"/>
      <c r="I151" s="325"/>
    </row>
    <row r="152" spans="2:9" s="18" customFormat="1" x14ac:dyDescent="0.25">
      <c r="B152" s="153" t="s">
        <v>163</v>
      </c>
      <c r="C152" s="6" t="s">
        <v>0</v>
      </c>
      <c r="D152" s="4">
        <v>3</v>
      </c>
      <c r="E152" s="5" t="str">
        <f>DEC2HEX(((D152)*2^4),8)</f>
        <v>00000030</v>
      </c>
      <c r="F152" s="165" t="s">
        <v>166</v>
      </c>
      <c r="G152" s="359"/>
      <c r="H152" s="322"/>
      <c r="I152" s="325"/>
    </row>
    <row r="153" spans="2:9" s="18" customFormat="1" x14ac:dyDescent="0.25">
      <c r="B153" s="153" t="s">
        <v>164</v>
      </c>
      <c r="C153" s="6" t="s">
        <v>0</v>
      </c>
      <c r="D153" s="12">
        <v>0</v>
      </c>
      <c r="E153" s="5" t="str">
        <f>DEC2HEX(((D153)*2^3),8)</f>
        <v>00000000</v>
      </c>
      <c r="F153" s="165" t="s">
        <v>167</v>
      </c>
      <c r="G153" s="359"/>
      <c r="H153" s="322"/>
      <c r="I153" s="325"/>
    </row>
    <row r="154" spans="2:9" s="18" customFormat="1" ht="27" thickBot="1" x14ac:dyDescent="0.3">
      <c r="B154" s="160" t="s">
        <v>165</v>
      </c>
      <c r="C154" s="161" t="s">
        <v>0</v>
      </c>
      <c r="D154" s="162">
        <v>0</v>
      </c>
      <c r="E154" s="163" t="str">
        <f>DEC2HEX(((D154)*2^0),8)</f>
        <v>00000000</v>
      </c>
      <c r="F154" s="166" t="s">
        <v>323</v>
      </c>
      <c r="G154" s="360"/>
      <c r="H154" s="323"/>
      <c r="I154" s="326"/>
    </row>
    <row r="155" spans="2:9" s="18" customFormat="1" ht="13.8" thickBot="1" x14ac:dyDescent="0.3">
      <c r="E155" s="25"/>
      <c r="G155" s="25"/>
      <c r="H155" s="25"/>
      <c r="I155" s="25"/>
    </row>
    <row r="156" spans="2:9" s="18" customFormat="1" ht="27" thickBot="1" x14ac:dyDescent="0.3">
      <c r="B156" s="2" t="s">
        <v>511</v>
      </c>
      <c r="C156" s="2" t="s">
        <v>6</v>
      </c>
      <c r="D156" s="2" t="s">
        <v>8</v>
      </c>
      <c r="E156" s="2" t="s">
        <v>7</v>
      </c>
      <c r="F156" s="7" t="s">
        <v>1</v>
      </c>
      <c r="G156" s="133" t="s">
        <v>3</v>
      </c>
      <c r="H156" s="8" t="s">
        <v>4</v>
      </c>
      <c r="I156" s="8" t="s">
        <v>5</v>
      </c>
    </row>
    <row r="157" spans="2:9" s="18" customFormat="1" ht="3" customHeight="1" thickBot="1" x14ac:dyDescent="0.3">
      <c r="B157" s="111"/>
      <c r="C157" s="111"/>
      <c r="D157" s="111"/>
      <c r="E157" s="111"/>
      <c r="F157" s="112"/>
      <c r="G157" s="113"/>
      <c r="H157" s="113"/>
      <c r="I157" s="113"/>
    </row>
    <row r="158" spans="2:9" s="18" customFormat="1" ht="106.8" thickBot="1" x14ac:dyDescent="0.35">
      <c r="B158" s="151" t="s">
        <v>324</v>
      </c>
      <c r="C158" s="157" t="s">
        <v>0</v>
      </c>
      <c r="D158" s="292">
        <f>(D80-2)</f>
        <v>4</v>
      </c>
      <c r="E158" s="152" t="str">
        <f>DEC2HEX(((D158)*2^(24)),8)</f>
        <v>04000000</v>
      </c>
      <c r="F158" s="271" t="s">
        <v>415</v>
      </c>
      <c r="G158" s="358" t="s">
        <v>159</v>
      </c>
      <c r="H158" s="321" t="s">
        <v>160</v>
      </c>
      <c r="I158" s="324" t="str">
        <f>"0x"&amp;DEC2HEX((HEX2DEC(E158)+HEX2DEC(E159)+HEX2DEC(E160)+HEX2DEC(E161)+HEX2DEC(E162)+HEX2DEC(E163)+HEX2DEC(E164)), 8)</f>
        <v>0x04028030</v>
      </c>
    </row>
    <row r="159" spans="2:9" s="18" customFormat="1" ht="13.8" thickBot="1" x14ac:dyDescent="0.3">
      <c r="B159" s="267" t="s">
        <v>322</v>
      </c>
      <c r="C159" s="268" t="s">
        <v>0</v>
      </c>
      <c r="D159" s="269">
        <v>2</v>
      </c>
      <c r="E159" s="270" t="str">
        <f>DEC2HEX(((D159)*2^(16)),8)</f>
        <v>00020000</v>
      </c>
      <c r="F159" s="271" t="s">
        <v>510</v>
      </c>
      <c r="G159" s="359"/>
      <c r="H159" s="322"/>
      <c r="I159" s="325"/>
    </row>
    <row r="160" spans="2:9" s="18" customFormat="1" x14ac:dyDescent="0.25">
      <c r="B160" s="151" t="s">
        <v>161</v>
      </c>
      <c r="C160" s="157" t="s">
        <v>0</v>
      </c>
      <c r="D160" s="167">
        <v>1</v>
      </c>
      <c r="E160" s="152" t="str">
        <f>DEC2HEX(((D160)*2^15),8)</f>
        <v>00008000</v>
      </c>
      <c r="F160" s="164" t="s">
        <v>169</v>
      </c>
      <c r="G160" s="359"/>
      <c r="H160" s="322"/>
      <c r="I160" s="325"/>
    </row>
    <row r="161" spans="2:9" s="18" customFormat="1" x14ac:dyDescent="0.25">
      <c r="B161" s="153" t="s">
        <v>162</v>
      </c>
      <c r="C161" s="6" t="s">
        <v>0</v>
      </c>
      <c r="D161" s="4">
        <v>0</v>
      </c>
      <c r="E161" s="5" t="str">
        <f>DEC2HEX(((D161)*2^9),8)</f>
        <v>00000000</v>
      </c>
      <c r="F161" s="165" t="s">
        <v>170</v>
      </c>
      <c r="G161" s="359"/>
      <c r="H161" s="322"/>
      <c r="I161" s="325"/>
    </row>
    <row r="162" spans="2:9" s="18" customFormat="1" x14ac:dyDescent="0.25">
      <c r="B162" s="153" t="s">
        <v>163</v>
      </c>
      <c r="C162" s="6" t="s">
        <v>0</v>
      </c>
      <c r="D162" s="4">
        <v>3</v>
      </c>
      <c r="E162" s="5" t="str">
        <f>DEC2HEX(((D162)*2^4),8)</f>
        <v>00000030</v>
      </c>
      <c r="F162" s="165" t="s">
        <v>166</v>
      </c>
      <c r="G162" s="359"/>
      <c r="H162" s="322"/>
      <c r="I162" s="325"/>
    </row>
    <row r="163" spans="2:9" s="18" customFormat="1" x14ac:dyDescent="0.25">
      <c r="B163" s="153" t="s">
        <v>164</v>
      </c>
      <c r="C163" s="6" t="s">
        <v>0</v>
      </c>
      <c r="D163" s="12">
        <v>0</v>
      </c>
      <c r="E163" s="5" t="str">
        <f>DEC2HEX(((D163)*2^3),8)</f>
        <v>00000000</v>
      </c>
      <c r="F163" s="165" t="s">
        <v>167</v>
      </c>
      <c r="G163" s="359"/>
      <c r="H163" s="322"/>
      <c r="I163" s="325"/>
    </row>
    <row r="164" spans="2:9" s="18" customFormat="1" ht="27" thickBot="1" x14ac:dyDescent="0.3">
      <c r="B164" s="160" t="s">
        <v>165</v>
      </c>
      <c r="C164" s="161" t="s">
        <v>0</v>
      </c>
      <c r="D164" s="162">
        <v>0</v>
      </c>
      <c r="E164" s="163" t="str">
        <f>DEC2HEX(((D164)*2^0),8)</f>
        <v>00000000</v>
      </c>
      <c r="F164" s="166" t="s">
        <v>323</v>
      </c>
      <c r="G164" s="360"/>
      <c r="H164" s="323"/>
      <c r="I164" s="326"/>
    </row>
    <row r="165" spans="2:9" s="18" customFormat="1" ht="13.8" thickBot="1" x14ac:dyDescent="0.3">
      <c r="E165" s="25"/>
      <c r="G165" s="25"/>
      <c r="H165" s="25"/>
      <c r="I165" s="25"/>
    </row>
    <row r="166" spans="2:9" s="18" customFormat="1" ht="27" thickBot="1" x14ac:dyDescent="0.3">
      <c r="B166" s="2" t="s">
        <v>512</v>
      </c>
      <c r="C166" s="2" t="s">
        <v>6</v>
      </c>
      <c r="D166" s="2" t="s">
        <v>8</v>
      </c>
      <c r="E166" s="2" t="s">
        <v>7</v>
      </c>
      <c r="F166" s="7" t="s">
        <v>1</v>
      </c>
      <c r="G166" s="133" t="s">
        <v>3</v>
      </c>
      <c r="H166" s="8" t="s">
        <v>4</v>
      </c>
      <c r="I166" s="8" t="s">
        <v>5</v>
      </c>
    </row>
    <row r="167" spans="2:9" s="18" customFormat="1" ht="3" customHeight="1" thickBot="1" x14ac:dyDescent="0.3">
      <c r="B167" s="111"/>
      <c r="C167" s="111"/>
      <c r="D167" s="111"/>
      <c r="E167" s="111"/>
      <c r="F167" s="112"/>
      <c r="G167" s="113"/>
      <c r="H167" s="113"/>
      <c r="I167" s="113"/>
    </row>
    <row r="168" spans="2:9" s="18" customFormat="1" ht="93" thickBot="1" x14ac:dyDescent="0.3">
      <c r="B168" s="151" t="s">
        <v>325</v>
      </c>
      <c r="C168" s="157" t="s">
        <v>0</v>
      </c>
      <c r="D168" s="168">
        <v>1</v>
      </c>
      <c r="E168" s="152" t="str">
        <f>DEC2HEX(((D168)*2^(24)),8)</f>
        <v>01000000</v>
      </c>
      <c r="F168" s="164" t="s">
        <v>330</v>
      </c>
      <c r="G168" s="358" t="s">
        <v>159</v>
      </c>
      <c r="H168" s="321" t="s">
        <v>160</v>
      </c>
      <c r="I168" s="324" t="str">
        <f>"0x"&amp;DEC2HEX((HEX2DEC(E168)+HEX2DEC(E169)+HEX2DEC(E170)+HEX2DEC(E171)+HEX2DEC(E172)+HEX2DEC(E173)+HEX2DEC(E174)), 8)</f>
        <v>0x01038030</v>
      </c>
    </row>
    <row r="169" spans="2:9" s="18" customFormat="1" ht="13.8" thickBot="1" x14ac:dyDescent="0.3">
      <c r="B169" s="267" t="s">
        <v>322</v>
      </c>
      <c r="C169" s="268" t="s">
        <v>0</v>
      </c>
      <c r="D169" s="269">
        <v>3</v>
      </c>
      <c r="E169" s="270" t="str">
        <f>DEC2HEX(((D169)*2^(16)),8)</f>
        <v>00030000</v>
      </c>
      <c r="F169" s="271" t="s">
        <v>510</v>
      </c>
      <c r="G169" s="359"/>
      <c r="H169" s="322"/>
      <c r="I169" s="325"/>
    </row>
    <row r="170" spans="2:9" s="18" customFormat="1" x14ac:dyDescent="0.25">
      <c r="B170" s="151" t="s">
        <v>161</v>
      </c>
      <c r="C170" s="157" t="s">
        <v>0</v>
      </c>
      <c r="D170" s="167">
        <v>1</v>
      </c>
      <c r="E170" s="152" t="str">
        <f>DEC2HEX(((D170)*2^15),8)</f>
        <v>00008000</v>
      </c>
      <c r="F170" s="164" t="s">
        <v>169</v>
      </c>
      <c r="G170" s="359"/>
      <c r="H170" s="322"/>
      <c r="I170" s="325"/>
    </row>
    <row r="171" spans="2:9" s="18" customFormat="1" x14ac:dyDescent="0.25">
      <c r="B171" s="153" t="s">
        <v>162</v>
      </c>
      <c r="C171" s="6" t="s">
        <v>0</v>
      </c>
      <c r="D171" s="4">
        <v>0</v>
      </c>
      <c r="E171" s="5" t="str">
        <f>DEC2HEX(((D171)*2^9),8)</f>
        <v>00000000</v>
      </c>
      <c r="F171" s="165" t="s">
        <v>170</v>
      </c>
      <c r="G171" s="359"/>
      <c r="H171" s="322"/>
      <c r="I171" s="325"/>
    </row>
    <row r="172" spans="2:9" s="18" customFormat="1" x14ac:dyDescent="0.25">
      <c r="B172" s="153" t="s">
        <v>163</v>
      </c>
      <c r="C172" s="6" t="s">
        <v>0</v>
      </c>
      <c r="D172" s="4">
        <v>3</v>
      </c>
      <c r="E172" s="5" t="str">
        <f>DEC2HEX(((D172)*2^4),8)</f>
        <v>00000030</v>
      </c>
      <c r="F172" s="165" t="s">
        <v>166</v>
      </c>
      <c r="G172" s="359"/>
      <c r="H172" s="322"/>
      <c r="I172" s="325"/>
    </row>
    <row r="173" spans="2:9" s="18" customFormat="1" x14ac:dyDescent="0.25">
      <c r="B173" s="153" t="s">
        <v>164</v>
      </c>
      <c r="C173" s="6" t="s">
        <v>0</v>
      </c>
      <c r="D173" s="12">
        <v>0</v>
      </c>
      <c r="E173" s="5" t="str">
        <f>DEC2HEX(((D173)*2^3),8)</f>
        <v>00000000</v>
      </c>
      <c r="F173" s="165" t="s">
        <v>167</v>
      </c>
      <c r="G173" s="359"/>
      <c r="H173" s="322"/>
      <c r="I173" s="325"/>
    </row>
    <row r="174" spans="2:9" s="18" customFormat="1" ht="27" thickBot="1" x14ac:dyDescent="0.3">
      <c r="B174" s="160" t="s">
        <v>165</v>
      </c>
      <c r="C174" s="161" t="s">
        <v>0</v>
      </c>
      <c r="D174" s="162">
        <v>0</v>
      </c>
      <c r="E174" s="163" t="str">
        <f>DEC2HEX(((D174)*2^0),8)</f>
        <v>00000000</v>
      </c>
      <c r="F174" s="166" t="s">
        <v>323</v>
      </c>
      <c r="G174" s="360"/>
      <c r="H174" s="323"/>
      <c r="I174" s="326"/>
    </row>
    <row r="175" spans="2:9" s="24" customFormat="1" x14ac:dyDescent="0.25">
      <c r="B175" s="272"/>
      <c r="C175" s="273"/>
      <c r="D175" s="274"/>
      <c r="E175" s="272"/>
      <c r="F175" s="275"/>
      <c r="G175" s="130"/>
      <c r="H175" s="130"/>
      <c r="I175" s="130"/>
    </row>
    <row r="176" spans="2:9" s="18" customFormat="1" ht="13.8" thickBot="1" x14ac:dyDescent="0.3">
      <c r="E176" s="25"/>
      <c r="G176" s="25"/>
      <c r="H176" s="25"/>
      <c r="I176" s="25"/>
    </row>
    <row r="177" spans="2:9" s="18" customFormat="1" ht="13.8" thickBot="1" x14ac:dyDescent="0.3">
      <c r="B177" s="278"/>
      <c r="C177" s="279"/>
      <c r="D177" s="279"/>
      <c r="E177" s="279"/>
      <c r="F177" s="279" t="s">
        <v>329</v>
      </c>
      <c r="G177" s="279"/>
      <c r="H177" s="279"/>
      <c r="I177" s="280"/>
    </row>
    <row r="178" spans="2:9" s="18" customFormat="1" ht="13.8" thickBot="1" x14ac:dyDescent="0.3">
      <c r="B178" s="277" t="s">
        <v>171</v>
      </c>
      <c r="E178" s="25"/>
      <c r="G178" s="25"/>
      <c r="H178" s="25"/>
      <c r="I178" s="25"/>
    </row>
    <row r="179" spans="2:9" s="18" customFormat="1" ht="27" thickBot="1" x14ac:dyDescent="0.3">
      <c r="B179" s="2" t="s">
        <v>509</v>
      </c>
      <c r="C179" s="2" t="s">
        <v>6</v>
      </c>
      <c r="D179" s="2" t="s">
        <v>8</v>
      </c>
      <c r="E179" s="2" t="s">
        <v>7</v>
      </c>
      <c r="F179" s="7" t="s">
        <v>1</v>
      </c>
      <c r="G179" s="133" t="s">
        <v>3</v>
      </c>
      <c r="H179" s="8" t="s">
        <v>4</v>
      </c>
      <c r="I179" s="8" t="s">
        <v>5</v>
      </c>
    </row>
    <row r="180" spans="2:9" s="18" customFormat="1" ht="3" customHeight="1" thickBot="1" x14ac:dyDescent="0.3">
      <c r="B180" s="111"/>
      <c r="C180" s="111"/>
      <c r="D180" s="111"/>
      <c r="E180" s="111"/>
      <c r="F180" s="112"/>
      <c r="G180" s="113"/>
      <c r="H180" s="113"/>
      <c r="I180" s="113"/>
    </row>
    <row r="181" spans="2:9" s="18" customFormat="1" ht="66" x14ac:dyDescent="0.25">
      <c r="B181" s="151" t="s">
        <v>318</v>
      </c>
      <c r="C181" s="157" t="s">
        <v>0</v>
      </c>
      <c r="D181" s="168">
        <v>4</v>
      </c>
      <c r="E181" s="152" t="str">
        <f>DEC2HEX(((D181)*2^(29)),8)</f>
        <v>80000000</v>
      </c>
      <c r="F181" s="164" t="s">
        <v>413</v>
      </c>
      <c r="G181" s="358" t="s">
        <v>159</v>
      </c>
      <c r="H181" s="321" t="s">
        <v>160</v>
      </c>
      <c r="I181" s="324" t="str">
        <f>"0x"&amp;DEC2HEX((HEX2DEC(E181)+HEX2DEC(E182)+HEX2DEC(E183)+HEX2DEC(E184)+HEX2DEC(E185)+HEX2DEC(E186)+HEX2DEC(E187)+HEX2DEC(E188)+HEX2DEC(E189)+HEX2DEC(E190)), 8)</f>
        <v>0x83018038</v>
      </c>
    </row>
    <row r="182" spans="2:9" s="18" customFormat="1" x14ac:dyDescent="0.25">
      <c r="B182" s="153" t="s">
        <v>319</v>
      </c>
      <c r="C182" s="6" t="s">
        <v>0</v>
      </c>
      <c r="D182" s="276">
        <v>0</v>
      </c>
      <c r="E182" s="5" t="str">
        <f>DEC2HEX(((D182)*2^(28)),8)</f>
        <v>00000000</v>
      </c>
      <c r="F182" s="165" t="s">
        <v>328</v>
      </c>
      <c r="G182" s="359"/>
      <c r="H182" s="322"/>
      <c r="I182" s="325"/>
    </row>
    <row r="183" spans="2:9" s="18" customFormat="1" x14ac:dyDescent="0.25">
      <c r="B183" s="153" t="s">
        <v>320</v>
      </c>
      <c r="C183" s="6" t="s">
        <v>0</v>
      </c>
      <c r="D183" s="276">
        <v>0</v>
      </c>
      <c r="E183" s="5" t="str">
        <f>DEC2HEX(((D183)*2^(27)),8)</f>
        <v>00000000</v>
      </c>
      <c r="F183" s="165" t="s">
        <v>327</v>
      </c>
      <c r="G183" s="359"/>
      <c r="H183" s="322"/>
      <c r="I183" s="325"/>
    </row>
    <row r="184" spans="2:9" s="18" customFormat="1" ht="27.6" thickBot="1" x14ac:dyDescent="0.35">
      <c r="B184" s="169" t="s">
        <v>321</v>
      </c>
      <c r="C184" s="266" t="s">
        <v>0</v>
      </c>
      <c r="D184" s="205">
        <f>IF(C17="LPDDR2", 2, 3)</f>
        <v>3</v>
      </c>
      <c r="E184" s="170" t="str">
        <f>DEC2HEX(((D184)*2^(24)),8)</f>
        <v>03000000</v>
      </c>
      <c r="F184" s="257" t="s">
        <v>524</v>
      </c>
      <c r="G184" s="359"/>
      <c r="H184" s="322"/>
      <c r="I184" s="325"/>
    </row>
    <row r="185" spans="2:9" s="18" customFormat="1" ht="13.8" thickBot="1" x14ac:dyDescent="0.3">
      <c r="B185" s="267" t="s">
        <v>322</v>
      </c>
      <c r="C185" s="268" t="s">
        <v>0</v>
      </c>
      <c r="D185" s="269">
        <v>1</v>
      </c>
      <c r="E185" s="270" t="str">
        <f>DEC2HEX(((D185)*2^(16)),8)</f>
        <v>00010000</v>
      </c>
      <c r="F185" s="271" t="s">
        <v>510</v>
      </c>
      <c r="G185" s="359"/>
      <c r="H185" s="322"/>
      <c r="I185" s="325"/>
    </row>
    <row r="186" spans="2:9" s="18" customFormat="1" x14ac:dyDescent="0.25">
      <c r="B186" s="151" t="s">
        <v>161</v>
      </c>
      <c r="C186" s="157" t="s">
        <v>0</v>
      </c>
      <c r="D186" s="167">
        <v>1</v>
      </c>
      <c r="E186" s="152" t="str">
        <f>DEC2HEX(((D186)*2^15),8)</f>
        <v>00008000</v>
      </c>
      <c r="F186" s="164" t="s">
        <v>169</v>
      </c>
      <c r="G186" s="359"/>
      <c r="H186" s="322"/>
      <c r="I186" s="325"/>
    </row>
    <row r="187" spans="2:9" s="18" customFormat="1" x14ac:dyDescent="0.25">
      <c r="B187" s="153" t="s">
        <v>162</v>
      </c>
      <c r="C187" s="6" t="s">
        <v>0</v>
      </c>
      <c r="D187" s="4">
        <v>0</v>
      </c>
      <c r="E187" s="5" t="str">
        <f>DEC2HEX(((D187)*2^9),8)</f>
        <v>00000000</v>
      </c>
      <c r="F187" s="165" t="s">
        <v>170</v>
      </c>
      <c r="G187" s="359"/>
      <c r="H187" s="322"/>
      <c r="I187" s="325"/>
    </row>
    <row r="188" spans="2:9" s="18" customFormat="1" x14ac:dyDescent="0.25">
      <c r="B188" s="153" t="s">
        <v>163</v>
      </c>
      <c r="C188" s="6" t="s">
        <v>0</v>
      </c>
      <c r="D188" s="4">
        <v>3</v>
      </c>
      <c r="E188" s="5" t="str">
        <f>DEC2HEX(((D188)*2^4),8)</f>
        <v>00000030</v>
      </c>
      <c r="F188" s="165" t="s">
        <v>166</v>
      </c>
      <c r="G188" s="359"/>
      <c r="H188" s="322"/>
      <c r="I188" s="325"/>
    </row>
    <row r="189" spans="2:9" s="18" customFormat="1" x14ac:dyDescent="0.25">
      <c r="B189" s="153" t="s">
        <v>164</v>
      </c>
      <c r="C189" s="6" t="s">
        <v>0</v>
      </c>
      <c r="D189" s="12">
        <v>1</v>
      </c>
      <c r="E189" s="5" t="str">
        <f>DEC2HEX(((D189)*2^3),8)</f>
        <v>00000008</v>
      </c>
      <c r="F189" s="165" t="s">
        <v>167</v>
      </c>
      <c r="G189" s="359"/>
      <c r="H189" s="322"/>
      <c r="I189" s="325"/>
    </row>
    <row r="190" spans="2:9" s="18" customFormat="1" ht="27" thickBot="1" x14ac:dyDescent="0.3">
      <c r="B190" s="160" t="s">
        <v>165</v>
      </c>
      <c r="C190" s="161" t="s">
        <v>0</v>
      </c>
      <c r="D190" s="162">
        <v>0</v>
      </c>
      <c r="E190" s="163" t="str">
        <f>DEC2HEX(((D190)*2^0),8)</f>
        <v>00000000</v>
      </c>
      <c r="F190" s="166" t="s">
        <v>323</v>
      </c>
      <c r="G190" s="360"/>
      <c r="H190" s="323"/>
      <c r="I190" s="326"/>
    </row>
    <row r="191" spans="2:9" s="18" customFormat="1" ht="13.8" thickBot="1" x14ac:dyDescent="0.3">
      <c r="E191" s="25"/>
      <c r="G191" s="25"/>
      <c r="H191" s="25"/>
      <c r="I191" s="25"/>
    </row>
    <row r="192" spans="2:9" s="18" customFormat="1" ht="27" thickBot="1" x14ac:dyDescent="0.3">
      <c r="B192" s="2" t="s">
        <v>511</v>
      </c>
      <c r="C192" s="2" t="s">
        <v>6</v>
      </c>
      <c r="D192" s="2" t="s">
        <v>8</v>
      </c>
      <c r="E192" s="2" t="s">
        <v>7</v>
      </c>
      <c r="F192" s="7" t="s">
        <v>1</v>
      </c>
      <c r="G192" s="133" t="s">
        <v>3</v>
      </c>
      <c r="H192" s="8" t="s">
        <v>4</v>
      </c>
      <c r="I192" s="8" t="s">
        <v>5</v>
      </c>
    </row>
    <row r="193" spans="2:9" s="18" customFormat="1" ht="3" customHeight="1" thickBot="1" x14ac:dyDescent="0.3">
      <c r="B193" s="111"/>
      <c r="C193" s="111"/>
      <c r="D193" s="111"/>
      <c r="E193" s="111"/>
      <c r="F193" s="112"/>
      <c r="G193" s="113"/>
      <c r="H193" s="113"/>
      <c r="I193" s="113"/>
    </row>
    <row r="194" spans="2:9" s="18" customFormat="1" ht="106.8" thickBot="1" x14ac:dyDescent="0.35">
      <c r="B194" s="151" t="s">
        <v>324</v>
      </c>
      <c r="C194" s="157" t="s">
        <v>0</v>
      </c>
      <c r="D194" s="292">
        <f>(D80-2)</f>
        <v>4</v>
      </c>
      <c r="E194" s="152" t="str">
        <f>DEC2HEX(((D194)*2^(24)),8)</f>
        <v>04000000</v>
      </c>
      <c r="F194" s="271" t="s">
        <v>415</v>
      </c>
      <c r="G194" s="358" t="s">
        <v>159</v>
      </c>
      <c r="H194" s="321" t="s">
        <v>160</v>
      </c>
      <c r="I194" s="324" t="str">
        <f>"0x"&amp;DEC2HEX((HEX2DEC(E194)+HEX2DEC(E195)+HEX2DEC(E196)+HEX2DEC(E197)+HEX2DEC(E198)+HEX2DEC(E199)+HEX2DEC(E200)), 8)</f>
        <v>0x04028038</v>
      </c>
    </row>
    <row r="195" spans="2:9" s="18" customFormat="1" ht="13.8" thickBot="1" x14ac:dyDescent="0.3">
      <c r="B195" s="267" t="s">
        <v>322</v>
      </c>
      <c r="C195" s="268" t="s">
        <v>0</v>
      </c>
      <c r="D195" s="269">
        <v>2</v>
      </c>
      <c r="E195" s="270" t="str">
        <f>DEC2HEX(((D195)*2^(16)),8)</f>
        <v>00020000</v>
      </c>
      <c r="F195" s="271" t="s">
        <v>510</v>
      </c>
      <c r="G195" s="359"/>
      <c r="H195" s="322"/>
      <c r="I195" s="325"/>
    </row>
    <row r="196" spans="2:9" s="18" customFormat="1" x14ac:dyDescent="0.25">
      <c r="B196" s="151" t="s">
        <v>161</v>
      </c>
      <c r="C196" s="157" t="s">
        <v>0</v>
      </c>
      <c r="D196" s="167">
        <v>1</v>
      </c>
      <c r="E196" s="152" t="str">
        <f>DEC2HEX(((D196)*2^15),8)</f>
        <v>00008000</v>
      </c>
      <c r="F196" s="164" t="s">
        <v>169</v>
      </c>
      <c r="G196" s="359"/>
      <c r="H196" s="322"/>
      <c r="I196" s="325"/>
    </row>
    <row r="197" spans="2:9" s="18" customFormat="1" x14ac:dyDescent="0.25">
      <c r="B197" s="153" t="s">
        <v>162</v>
      </c>
      <c r="C197" s="6" t="s">
        <v>0</v>
      </c>
      <c r="D197" s="4">
        <v>0</v>
      </c>
      <c r="E197" s="5" t="str">
        <f>DEC2HEX(((D197)*2^9),8)</f>
        <v>00000000</v>
      </c>
      <c r="F197" s="165" t="s">
        <v>170</v>
      </c>
      <c r="G197" s="359"/>
      <c r="H197" s="322"/>
      <c r="I197" s="325"/>
    </row>
    <row r="198" spans="2:9" s="18" customFormat="1" x14ac:dyDescent="0.25">
      <c r="B198" s="153" t="s">
        <v>163</v>
      </c>
      <c r="C198" s="6" t="s">
        <v>0</v>
      </c>
      <c r="D198" s="4">
        <v>3</v>
      </c>
      <c r="E198" s="5" t="str">
        <f>DEC2HEX(((D198)*2^4),8)</f>
        <v>00000030</v>
      </c>
      <c r="F198" s="165" t="s">
        <v>166</v>
      </c>
      <c r="G198" s="359"/>
      <c r="H198" s="322"/>
      <c r="I198" s="325"/>
    </row>
    <row r="199" spans="2:9" s="18" customFormat="1" x14ac:dyDescent="0.25">
      <c r="B199" s="153" t="s">
        <v>164</v>
      </c>
      <c r="C199" s="6" t="s">
        <v>0</v>
      </c>
      <c r="D199" s="12">
        <v>1</v>
      </c>
      <c r="E199" s="5" t="str">
        <f>DEC2HEX(((D199)*2^3),8)</f>
        <v>00000008</v>
      </c>
      <c r="F199" s="165" t="s">
        <v>167</v>
      </c>
      <c r="G199" s="359"/>
      <c r="H199" s="322"/>
      <c r="I199" s="325"/>
    </row>
    <row r="200" spans="2:9" s="18" customFormat="1" ht="27" thickBot="1" x14ac:dyDescent="0.3">
      <c r="B200" s="160" t="s">
        <v>165</v>
      </c>
      <c r="C200" s="161" t="s">
        <v>0</v>
      </c>
      <c r="D200" s="162">
        <v>0</v>
      </c>
      <c r="E200" s="163" t="str">
        <f>DEC2HEX(((D200)*2^0),8)</f>
        <v>00000000</v>
      </c>
      <c r="F200" s="166" t="s">
        <v>323</v>
      </c>
      <c r="G200" s="360"/>
      <c r="H200" s="323"/>
      <c r="I200" s="326"/>
    </row>
    <row r="201" spans="2:9" s="18" customFormat="1" ht="13.8" thickBot="1" x14ac:dyDescent="0.3">
      <c r="E201" s="25"/>
      <c r="G201" s="25"/>
      <c r="H201" s="25"/>
      <c r="I201" s="25"/>
    </row>
    <row r="202" spans="2:9" s="18" customFormat="1" ht="27" thickBot="1" x14ac:dyDescent="0.3">
      <c r="B202" s="2" t="s">
        <v>512</v>
      </c>
      <c r="C202" s="2" t="s">
        <v>6</v>
      </c>
      <c r="D202" s="2" t="s">
        <v>8</v>
      </c>
      <c r="E202" s="2" t="s">
        <v>7</v>
      </c>
      <c r="F202" s="7" t="s">
        <v>1</v>
      </c>
      <c r="G202" s="133" t="s">
        <v>3</v>
      </c>
      <c r="H202" s="8" t="s">
        <v>4</v>
      </c>
      <c r="I202" s="8" t="s">
        <v>5</v>
      </c>
    </row>
    <row r="203" spans="2:9" s="18" customFormat="1" ht="3" customHeight="1" thickBot="1" x14ac:dyDescent="0.3">
      <c r="B203" s="111"/>
      <c r="C203" s="111"/>
      <c r="D203" s="111"/>
      <c r="E203" s="111"/>
      <c r="F203" s="112"/>
      <c r="G203" s="113"/>
      <c r="H203" s="113"/>
      <c r="I203" s="113"/>
    </row>
    <row r="204" spans="2:9" s="18" customFormat="1" ht="93" thickBot="1" x14ac:dyDescent="0.3">
      <c r="B204" s="151" t="s">
        <v>325</v>
      </c>
      <c r="C204" s="157" t="s">
        <v>0</v>
      </c>
      <c r="D204" s="168">
        <v>1</v>
      </c>
      <c r="E204" s="152" t="str">
        <f>DEC2HEX(((D204)*2^(24)),8)</f>
        <v>01000000</v>
      </c>
      <c r="F204" s="164" t="s">
        <v>330</v>
      </c>
      <c r="G204" s="358" t="s">
        <v>159</v>
      </c>
      <c r="H204" s="321" t="s">
        <v>160</v>
      </c>
      <c r="I204" s="324" t="str">
        <f>"0x"&amp;DEC2HEX((HEX2DEC(E204)+HEX2DEC(E205)+HEX2DEC(E206)+HEX2DEC(E207)+HEX2DEC(E208)+HEX2DEC(E209)+HEX2DEC(E210)), 8)</f>
        <v>0x01038038</v>
      </c>
    </row>
    <row r="205" spans="2:9" s="18" customFormat="1" ht="13.8" thickBot="1" x14ac:dyDescent="0.3">
      <c r="B205" s="267" t="s">
        <v>322</v>
      </c>
      <c r="C205" s="268" t="s">
        <v>0</v>
      </c>
      <c r="D205" s="269">
        <v>3</v>
      </c>
      <c r="E205" s="270" t="str">
        <f>DEC2HEX(((D205)*2^(16)),8)</f>
        <v>00030000</v>
      </c>
      <c r="F205" s="271" t="s">
        <v>510</v>
      </c>
      <c r="G205" s="359"/>
      <c r="H205" s="322"/>
      <c r="I205" s="325"/>
    </row>
    <row r="206" spans="2:9" s="18" customFormat="1" x14ac:dyDescent="0.25">
      <c r="B206" s="151" t="s">
        <v>161</v>
      </c>
      <c r="C206" s="157" t="s">
        <v>0</v>
      </c>
      <c r="D206" s="167">
        <v>1</v>
      </c>
      <c r="E206" s="152" t="str">
        <f>DEC2HEX(((D206)*2^15),8)</f>
        <v>00008000</v>
      </c>
      <c r="F206" s="164" t="s">
        <v>169</v>
      </c>
      <c r="G206" s="359"/>
      <c r="H206" s="322"/>
      <c r="I206" s="325"/>
    </row>
    <row r="207" spans="2:9" s="18" customFormat="1" x14ac:dyDescent="0.25">
      <c r="B207" s="153" t="s">
        <v>162</v>
      </c>
      <c r="C207" s="6" t="s">
        <v>0</v>
      </c>
      <c r="D207" s="4">
        <v>0</v>
      </c>
      <c r="E207" s="5" t="str">
        <f>DEC2HEX(((D207)*2^9),8)</f>
        <v>00000000</v>
      </c>
      <c r="F207" s="165" t="s">
        <v>170</v>
      </c>
      <c r="G207" s="359"/>
      <c r="H207" s="322"/>
      <c r="I207" s="325"/>
    </row>
    <row r="208" spans="2:9" s="18" customFormat="1" x14ac:dyDescent="0.25">
      <c r="B208" s="153" t="s">
        <v>163</v>
      </c>
      <c r="C208" s="6" t="s">
        <v>0</v>
      </c>
      <c r="D208" s="4">
        <v>3</v>
      </c>
      <c r="E208" s="5" t="str">
        <f>DEC2HEX(((D208)*2^4),8)</f>
        <v>00000030</v>
      </c>
      <c r="F208" s="165" t="s">
        <v>166</v>
      </c>
      <c r="G208" s="359"/>
      <c r="H208" s="322"/>
      <c r="I208" s="325"/>
    </row>
    <row r="209" spans="2:9" s="18" customFormat="1" x14ac:dyDescent="0.25">
      <c r="B209" s="153" t="s">
        <v>164</v>
      </c>
      <c r="C209" s="6" t="s">
        <v>0</v>
      </c>
      <c r="D209" s="12">
        <v>1</v>
      </c>
      <c r="E209" s="5" t="str">
        <f>DEC2HEX(((D209)*2^3),8)</f>
        <v>00000008</v>
      </c>
      <c r="F209" s="165" t="s">
        <v>167</v>
      </c>
      <c r="G209" s="359"/>
      <c r="H209" s="322"/>
      <c r="I209" s="325"/>
    </row>
    <row r="210" spans="2:9" s="18" customFormat="1" ht="27" thickBot="1" x14ac:dyDescent="0.3">
      <c r="B210" s="160" t="s">
        <v>165</v>
      </c>
      <c r="C210" s="161" t="s">
        <v>0</v>
      </c>
      <c r="D210" s="162">
        <v>0</v>
      </c>
      <c r="E210" s="163" t="str">
        <f>DEC2HEX(((D210)*2^0),8)</f>
        <v>00000000</v>
      </c>
      <c r="F210" s="166" t="s">
        <v>323</v>
      </c>
      <c r="G210" s="360"/>
      <c r="H210" s="323"/>
      <c r="I210" s="326"/>
    </row>
    <row r="211" spans="2:9" ht="13.8" thickBot="1" x14ac:dyDescent="0.3"/>
    <row r="212" spans="2:9" ht="27" thickBot="1" x14ac:dyDescent="0.3">
      <c r="G212" s="133" t="s">
        <v>3</v>
      </c>
      <c r="H212" s="8" t="s">
        <v>4</v>
      </c>
      <c r="I212" s="8" t="s">
        <v>5</v>
      </c>
    </row>
    <row r="213" spans="2:9" ht="12.75" customHeight="1" x14ac:dyDescent="0.25">
      <c r="B213" s="288"/>
      <c r="C213" s="289"/>
      <c r="D213" s="289"/>
      <c r="E213" s="429" t="s">
        <v>398</v>
      </c>
      <c r="F213" s="430"/>
      <c r="G213" s="290" t="s">
        <v>396</v>
      </c>
      <c r="H213" s="4" t="s">
        <v>399</v>
      </c>
      <c r="I213" s="287" t="s">
        <v>525</v>
      </c>
    </row>
    <row r="214" spans="2:9" x14ac:dyDescent="0.25">
      <c r="B214" s="289"/>
      <c r="C214" s="289"/>
      <c r="D214" s="289"/>
      <c r="E214" s="430"/>
      <c r="F214" s="430"/>
      <c r="G214" s="4" t="s">
        <v>397</v>
      </c>
      <c r="H214" s="4" t="s">
        <v>400</v>
      </c>
      <c r="I214" s="287" t="s">
        <v>526</v>
      </c>
    </row>
  </sheetData>
  <mergeCells count="100">
    <mergeCell ref="E213:F214"/>
    <mergeCell ref="F17:G28"/>
    <mergeCell ref="G204:G210"/>
    <mergeCell ref="H204:H210"/>
    <mergeCell ref="I204:I210"/>
    <mergeCell ref="G168:G174"/>
    <mergeCell ref="H168:H174"/>
    <mergeCell ref="I168:I174"/>
    <mergeCell ref="G181:G190"/>
    <mergeCell ref="H181:H190"/>
    <mergeCell ref="I181:I190"/>
    <mergeCell ref="G194:G200"/>
    <mergeCell ref="H194:H200"/>
    <mergeCell ref="I37:I38"/>
    <mergeCell ref="I54:I59"/>
    <mergeCell ref="H54:H59"/>
    <mergeCell ref="G54:G59"/>
    <mergeCell ref="J63:J65"/>
    <mergeCell ref="C26:D26"/>
    <mergeCell ref="C27:D27"/>
    <mergeCell ref="G37:G38"/>
    <mergeCell ref="H37:H38"/>
    <mergeCell ref="H48:H49"/>
    <mergeCell ref="H42:H45"/>
    <mergeCell ref="G42:G45"/>
    <mergeCell ref="I42:I45"/>
    <mergeCell ref="G63:G68"/>
    <mergeCell ref="H63:H68"/>
    <mergeCell ref="I63:I65"/>
    <mergeCell ref="I66:I68"/>
    <mergeCell ref="J66:J68"/>
    <mergeCell ref="I194:I200"/>
    <mergeCell ref="B7:E14"/>
    <mergeCell ref="C19:D19"/>
    <mergeCell ref="G102:G104"/>
    <mergeCell ref="G69:G74"/>
    <mergeCell ref="G75:G80"/>
    <mergeCell ref="G81:G88"/>
    <mergeCell ref="C17:D17"/>
    <mergeCell ref="C18:D18"/>
    <mergeCell ref="G89:G95"/>
    <mergeCell ref="F16:G16"/>
    <mergeCell ref="F7:F8"/>
    <mergeCell ref="F13:F14"/>
    <mergeCell ref="F9:F10"/>
    <mergeCell ref="G7:G8"/>
    <mergeCell ref="G9:G10"/>
    <mergeCell ref="G13:G14"/>
    <mergeCell ref="C20:D20"/>
    <mergeCell ref="C23:D23"/>
    <mergeCell ref="C24:D24"/>
    <mergeCell ref="C25:D25"/>
    <mergeCell ref="C21:D21"/>
    <mergeCell ref="B42:B45"/>
    <mergeCell ref="C22:D22"/>
    <mergeCell ref="G145:G154"/>
    <mergeCell ref="H145:H154"/>
    <mergeCell ref="I145:I154"/>
    <mergeCell ref="H75:H80"/>
    <mergeCell ref="H69:H74"/>
    <mergeCell ref="G96:G101"/>
    <mergeCell ref="H96:H101"/>
    <mergeCell ref="I96:I101"/>
    <mergeCell ref="G105:G108"/>
    <mergeCell ref="I105:I108"/>
    <mergeCell ref="I75:I80"/>
    <mergeCell ref="H102:H104"/>
    <mergeCell ref="B136:I136"/>
    <mergeCell ref="B137:I137"/>
    <mergeCell ref="F94:F95"/>
    <mergeCell ref="G158:G164"/>
    <mergeCell ref="H158:H164"/>
    <mergeCell ref="D90:D91"/>
    <mergeCell ref="E90:E91"/>
    <mergeCell ref="F90:F91"/>
    <mergeCell ref="D92:D93"/>
    <mergeCell ref="E92:E93"/>
    <mergeCell ref="F92:F93"/>
    <mergeCell ref="I158:I164"/>
    <mergeCell ref="H89:H95"/>
    <mergeCell ref="I89:I95"/>
    <mergeCell ref="I81:I88"/>
    <mergeCell ref="I102:I104"/>
    <mergeCell ref="H105:H108"/>
    <mergeCell ref="C4:G4"/>
    <mergeCell ref="I48:I49"/>
    <mergeCell ref="G48:G49"/>
    <mergeCell ref="C28:D28"/>
    <mergeCell ref="G113:G125"/>
    <mergeCell ref="H113:H125"/>
    <mergeCell ref="I113:I125"/>
    <mergeCell ref="H81:H88"/>
    <mergeCell ref="B29:D29"/>
    <mergeCell ref="B31:D31"/>
    <mergeCell ref="B30:D30"/>
    <mergeCell ref="B48:B49"/>
    <mergeCell ref="B37:B38"/>
    <mergeCell ref="I69:I74"/>
    <mergeCell ref="D94:D95"/>
    <mergeCell ref="E94:E95"/>
  </mergeCells>
  <phoneticPr fontId="1" type="noConversion"/>
  <dataValidations count="1">
    <dataValidation type="list" allowBlank="1" showInputMessage="1" showErrorMessage="1" sqref="D38:D40 D49:D50 D45 D47" xr:uid="{00000000-0002-0000-0100-000000000000}">
      <formula1>$AJ$7:$AJ$14</formula1>
    </dataValidation>
  </dataValidations>
  <pageMargins left="0.75" right="0.75" top="1" bottom="1" header="0.5" footer="0.5"/>
  <pageSetup scale="81" orientation="landscape" r:id="rId1"/>
  <headerFooter alignWithMargins="0"/>
  <ignoredErrors>
    <ignoredError sqref="E49"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21"/>
  <sheetViews>
    <sheetView workbookViewId="0">
      <selection activeCell="A6" sqref="A6"/>
    </sheetView>
  </sheetViews>
  <sheetFormatPr defaultRowHeight="13.2" x14ac:dyDescent="0.25"/>
  <cols>
    <col min="1" max="1" width="23.88671875" customWidth="1"/>
    <col min="2" max="2" width="16.6640625" bestFit="1" customWidth="1"/>
    <col min="3" max="3" width="12.44140625" bestFit="1" customWidth="1"/>
    <col min="4" max="4" width="118" customWidth="1"/>
    <col min="5" max="5" width="25.88671875" style="1" hidden="1" customWidth="1"/>
    <col min="6" max="6" width="23.88671875" style="1" hidden="1" customWidth="1"/>
    <col min="7" max="7" width="16.44140625" customWidth="1"/>
  </cols>
  <sheetData>
    <row r="1" spans="1:4" x14ac:dyDescent="0.25">
      <c r="A1" t="s">
        <v>11</v>
      </c>
    </row>
    <row r="2" spans="1:4" x14ac:dyDescent="0.25">
      <c r="A2" s="3" t="s">
        <v>533</v>
      </c>
    </row>
    <row r="3" spans="1:4" x14ac:dyDescent="0.25">
      <c r="A3" t="s">
        <v>11</v>
      </c>
    </row>
    <row r="4" spans="1:4" x14ac:dyDescent="0.25">
      <c r="A4" t="s">
        <v>37</v>
      </c>
    </row>
    <row r="5" spans="1:4" x14ac:dyDescent="0.25">
      <c r="A5" s="3" t="s">
        <v>537</v>
      </c>
    </row>
    <row r="6" spans="1:4" x14ac:dyDescent="0.25">
      <c r="A6" s="3" t="s">
        <v>11</v>
      </c>
    </row>
    <row r="8" spans="1:4" x14ac:dyDescent="0.25">
      <c r="A8" t="s">
        <v>535</v>
      </c>
      <c r="D8" s="3" t="s">
        <v>529</v>
      </c>
    </row>
    <row r="9" spans="1:4" x14ac:dyDescent="0.25">
      <c r="A9" t="s">
        <v>11</v>
      </c>
    </row>
    <row r="10" spans="1:4" x14ac:dyDescent="0.25">
      <c r="A10" t="s">
        <v>34</v>
      </c>
      <c r="B10" t="s">
        <v>12</v>
      </c>
    </row>
    <row r="11" spans="1:4" x14ac:dyDescent="0.25">
      <c r="A11" t="s">
        <v>11</v>
      </c>
    </row>
    <row r="12" spans="1:4" x14ac:dyDescent="0.25">
      <c r="A12" t="s">
        <v>536</v>
      </c>
      <c r="B12" s="3" t="s">
        <v>198</v>
      </c>
      <c r="C12" t="s">
        <v>13</v>
      </c>
      <c r="D12" s="3" t="s">
        <v>529</v>
      </c>
    </row>
    <row r="14" spans="1:4" x14ac:dyDescent="0.25">
      <c r="A14" t="s">
        <v>11</v>
      </c>
    </row>
    <row r="15" spans="1:4" x14ac:dyDescent="0.25">
      <c r="A15" t="s">
        <v>38</v>
      </c>
    </row>
    <row r="16" spans="1:4" x14ac:dyDescent="0.25">
      <c r="A16" t="s">
        <v>11</v>
      </c>
    </row>
    <row r="17" spans="1:4" x14ac:dyDescent="0.25">
      <c r="A17" t="s">
        <v>35</v>
      </c>
      <c r="B17" t="s">
        <v>199</v>
      </c>
      <c r="C17" t="s">
        <v>14</v>
      </c>
    </row>
    <row r="18" spans="1:4" x14ac:dyDescent="0.25">
      <c r="A18" t="s">
        <v>35</v>
      </c>
      <c r="B18" t="s">
        <v>200</v>
      </c>
      <c r="C18" t="s">
        <v>14</v>
      </c>
    </row>
    <row r="19" spans="1:4" x14ac:dyDescent="0.25">
      <c r="A19" t="s">
        <v>35</v>
      </c>
      <c r="B19" t="s">
        <v>201</v>
      </c>
      <c r="C19" t="s">
        <v>14</v>
      </c>
    </row>
    <row r="20" spans="1:4" x14ac:dyDescent="0.25">
      <c r="A20" t="s">
        <v>35</v>
      </c>
      <c r="B20" t="s">
        <v>202</v>
      </c>
      <c r="C20" t="s">
        <v>14</v>
      </c>
    </row>
    <row r="21" spans="1:4" x14ac:dyDescent="0.25">
      <c r="A21" t="s">
        <v>35</v>
      </c>
      <c r="B21" t="s">
        <v>203</v>
      </c>
      <c r="C21" t="s">
        <v>14</v>
      </c>
    </row>
    <row r="22" spans="1:4" x14ac:dyDescent="0.25">
      <c r="A22" t="s">
        <v>35</v>
      </c>
      <c r="B22" t="s">
        <v>204</v>
      </c>
      <c r="C22" t="s">
        <v>14</v>
      </c>
    </row>
    <row r="23" spans="1:4" x14ac:dyDescent="0.25">
      <c r="A23" t="s">
        <v>35</v>
      </c>
      <c r="B23" t="s">
        <v>205</v>
      </c>
      <c r="C23" t="s">
        <v>14</v>
      </c>
    </row>
    <row r="25" spans="1:4" x14ac:dyDescent="0.25">
      <c r="A25" t="s">
        <v>11</v>
      </c>
    </row>
    <row r="26" spans="1:4" x14ac:dyDescent="0.25">
      <c r="A26" t="s">
        <v>36</v>
      </c>
    </row>
    <row r="27" spans="1:4" x14ac:dyDescent="0.25">
      <c r="A27" t="s">
        <v>11</v>
      </c>
    </row>
    <row r="28" spans="1:4" x14ac:dyDescent="0.25">
      <c r="A28" t="s">
        <v>339</v>
      </c>
    </row>
    <row r="29" spans="1:4" x14ac:dyDescent="0.25">
      <c r="A29" t="s">
        <v>35</v>
      </c>
      <c r="B29" t="s">
        <v>430</v>
      </c>
      <c r="C29" s="13" t="str">
        <f>'Register Configuration'!$I$35</f>
        <v>0x00020000</v>
      </c>
      <c r="D29" s="3" t="s">
        <v>224</v>
      </c>
    </row>
    <row r="30" spans="1:4" x14ac:dyDescent="0.25">
      <c r="A30" t="s">
        <v>35</v>
      </c>
      <c r="B30" t="s">
        <v>432</v>
      </c>
      <c r="C30" s="13" t="str">
        <f>'Register Configuration'!$I$36</f>
        <v>0x00000000</v>
      </c>
      <c r="D30" s="3" t="s">
        <v>223</v>
      </c>
    </row>
    <row r="32" spans="1:4" x14ac:dyDescent="0.25">
      <c r="A32" t="s">
        <v>340</v>
      </c>
    </row>
    <row r="33" spans="1:4" x14ac:dyDescent="0.25">
      <c r="A33" t="s">
        <v>35</v>
      </c>
      <c r="B33" t="s">
        <v>433</v>
      </c>
      <c r="C33" s="13" t="str">
        <f>'Register Configuration'!$I$37</f>
        <v>0x00000030</v>
      </c>
      <c r="D33" s="3" t="s">
        <v>215</v>
      </c>
    </row>
    <row r="35" spans="1:4" x14ac:dyDescent="0.25">
      <c r="A35" t="s">
        <v>341</v>
      </c>
    </row>
    <row r="36" spans="1:4" x14ac:dyDescent="0.25">
      <c r="A36" t="s">
        <v>35</v>
      </c>
      <c r="B36" s="3" t="s">
        <v>452</v>
      </c>
      <c r="C36" s="13" t="str">
        <f>'Register Configuration'!$I$39</f>
        <v>0x00000030</v>
      </c>
      <c r="D36" t="s">
        <v>220</v>
      </c>
    </row>
    <row r="37" spans="1:4" x14ac:dyDescent="0.25">
      <c r="A37" t="s">
        <v>35</v>
      </c>
      <c r="B37" s="3" t="s">
        <v>451</v>
      </c>
      <c r="C37" s="13" t="str">
        <f>'Register Configuration'!$I$40</f>
        <v>0x00000030</v>
      </c>
      <c r="D37" t="s">
        <v>221</v>
      </c>
    </row>
    <row r="39" spans="1:4" x14ac:dyDescent="0.25">
      <c r="A39" t="s">
        <v>342</v>
      </c>
    </row>
    <row r="40" spans="1:4" x14ac:dyDescent="0.25">
      <c r="A40" t="s">
        <v>35</v>
      </c>
      <c r="B40" s="3" t="s">
        <v>453</v>
      </c>
      <c r="C40" s="13" t="str">
        <f>'Register Configuration'!$I$41</f>
        <v>0x00020000</v>
      </c>
      <c r="D40" s="3" t="s">
        <v>222</v>
      </c>
    </row>
    <row r="41" spans="1:4" x14ac:dyDescent="0.25">
      <c r="A41" t="s">
        <v>35</v>
      </c>
      <c r="B41" s="3" t="s">
        <v>454</v>
      </c>
      <c r="C41" s="13" t="str">
        <f>'Register Configuration'!$I$42</f>
        <v>0x00003030</v>
      </c>
      <c r="D41" s="3" t="s">
        <v>207</v>
      </c>
    </row>
    <row r="42" spans="1:4" x14ac:dyDescent="0.25">
      <c r="A42" t="s">
        <v>35</v>
      </c>
      <c r="B42" s="3" t="s">
        <v>455</v>
      </c>
      <c r="C42" s="13" t="str">
        <f>'Register Configuration'!$I$42</f>
        <v>0x00003030</v>
      </c>
      <c r="D42" t="s">
        <v>208</v>
      </c>
    </row>
    <row r="43" spans="1:4" x14ac:dyDescent="0.25">
      <c r="A43" t="s">
        <v>35</v>
      </c>
      <c r="B43" s="3" t="s">
        <v>456</v>
      </c>
      <c r="C43" s="13" t="str">
        <f>'Register Configuration'!$I$42</f>
        <v>0x00003030</v>
      </c>
      <c r="D43" t="s">
        <v>209</v>
      </c>
    </row>
    <row r="44" spans="1:4" x14ac:dyDescent="0.25">
      <c r="A44" s="3" t="s">
        <v>35</v>
      </c>
      <c r="B44" s="3" t="s">
        <v>457</v>
      </c>
      <c r="C44" s="13" t="str">
        <f>'Register Configuration'!$I$42</f>
        <v>0x00003030</v>
      </c>
      <c r="D44" t="s">
        <v>210</v>
      </c>
    </row>
    <row r="46" spans="1:4" x14ac:dyDescent="0.25">
      <c r="A46" t="s">
        <v>343</v>
      </c>
    </row>
    <row r="47" spans="1:4" x14ac:dyDescent="0.25">
      <c r="A47" t="s">
        <v>35</v>
      </c>
      <c r="B47" s="3" t="s">
        <v>458</v>
      </c>
      <c r="C47" s="13" t="str">
        <f>'Register Configuration'!$I$46</f>
        <v>0x00080000</v>
      </c>
      <c r="D47" s="3" t="s">
        <v>206</v>
      </c>
    </row>
    <row r="48" spans="1:4" x14ac:dyDescent="0.25">
      <c r="A48" t="s">
        <v>35</v>
      </c>
      <c r="B48" s="3" t="s">
        <v>459</v>
      </c>
      <c r="C48" s="13" t="str">
        <f>'Register Configuration'!$I$47</f>
        <v>0x00000030</v>
      </c>
      <c r="D48" t="s">
        <v>216</v>
      </c>
    </row>
    <row r="49" spans="1:4" x14ac:dyDescent="0.25">
      <c r="A49" t="s">
        <v>35</v>
      </c>
      <c r="B49" s="3" t="s">
        <v>460</v>
      </c>
      <c r="C49" s="13" t="str">
        <f>'Register Configuration'!$I$47</f>
        <v>0x00000030</v>
      </c>
      <c r="D49" t="s">
        <v>217</v>
      </c>
    </row>
    <row r="50" spans="1:4" x14ac:dyDescent="0.25">
      <c r="A50" t="s">
        <v>35</v>
      </c>
      <c r="B50" s="3" t="s">
        <v>461</v>
      </c>
      <c r="C50" s="13" t="str">
        <f>'Register Configuration'!$I$47</f>
        <v>0x00000030</v>
      </c>
      <c r="D50" t="s">
        <v>218</v>
      </c>
    </row>
    <row r="51" spans="1:4" x14ac:dyDescent="0.25">
      <c r="A51" t="s">
        <v>35</v>
      </c>
      <c r="B51" s="3" t="s">
        <v>462</v>
      </c>
      <c r="C51" s="13" t="str">
        <f>'Register Configuration'!$I$47</f>
        <v>0x00000030</v>
      </c>
      <c r="D51" t="s">
        <v>219</v>
      </c>
    </row>
    <row r="53" spans="1:4" x14ac:dyDescent="0.25">
      <c r="A53" t="s">
        <v>35</v>
      </c>
      <c r="B53" s="3" t="s">
        <v>463</v>
      </c>
      <c r="C53" s="13" t="str">
        <f>'Register Configuration'!$I$48</f>
        <v>0x00000030</v>
      </c>
      <c r="D53" s="3" t="s">
        <v>211</v>
      </c>
    </row>
    <row r="54" spans="1:4" x14ac:dyDescent="0.25">
      <c r="A54" t="s">
        <v>35</v>
      </c>
      <c r="B54" s="3" t="s">
        <v>464</v>
      </c>
      <c r="C54" s="13" t="str">
        <f>'Register Configuration'!$I$48</f>
        <v>0x00000030</v>
      </c>
      <c r="D54" t="s">
        <v>212</v>
      </c>
    </row>
    <row r="55" spans="1:4" x14ac:dyDescent="0.25">
      <c r="A55" t="s">
        <v>35</v>
      </c>
      <c r="B55" s="3" t="s">
        <v>465</v>
      </c>
      <c r="C55" s="13" t="str">
        <f>'Register Configuration'!$I$48</f>
        <v>0x00000030</v>
      </c>
      <c r="D55" t="s">
        <v>213</v>
      </c>
    </row>
    <row r="56" spans="1:4" x14ac:dyDescent="0.25">
      <c r="A56" t="s">
        <v>35</v>
      </c>
      <c r="B56" s="3" t="s">
        <v>466</v>
      </c>
      <c r="C56" s="13" t="str">
        <f>'Register Configuration'!$I$48</f>
        <v>0x00000030</v>
      </c>
      <c r="D56" t="s">
        <v>214</v>
      </c>
    </row>
    <row r="57" spans="1:4" x14ac:dyDescent="0.25">
      <c r="B57" s="3"/>
      <c r="C57" s="14"/>
    </row>
    <row r="58" spans="1:4" x14ac:dyDescent="0.25">
      <c r="A58" t="s">
        <v>35</v>
      </c>
      <c r="B58" s="3" t="s">
        <v>467</v>
      </c>
      <c r="C58" s="13" t="str">
        <f>'Register Configuration'!$I$50</f>
        <v>0x00082030</v>
      </c>
      <c r="D58" s="3" t="s">
        <v>468</v>
      </c>
    </row>
    <row r="60" spans="1:4" x14ac:dyDescent="0.25">
      <c r="A60" t="s">
        <v>11</v>
      </c>
    </row>
    <row r="61" spans="1:4" x14ac:dyDescent="0.25">
      <c r="A61" t="s">
        <v>39</v>
      </c>
    </row>
    <row r="62" spans="1:4" x14ac:dyDescent="0.25">
      <c r="A62" t="s">
        <v>11</v>
      </c>
    </row>
    <row r="63" spans="1:4" x14ac:dyDescent="0.25">
      <c r="A63" s="3" t="s">
        <v>56</v>
      </c>
      <c r="B63" s="13" t="str">
        <f>'Register Configuration'!C18</f>
        <v>Micron</v>
      </c>
      <c r="C63" s="14"/>
      <c r="D63" s="14"/>
    </row>
    <row r="64" spans="1:4" x14ac:dyDescent="0.25">
      <c r="A64" s="3" t="s">
        <v>57</v>
      </c>
      <c r="B64" s="437" t="str">
        <f>'Register Configuration'!C19</f>
        <v>MT52L512M32D2PU-107 WT:B</v>
      </c>
      <c r="C64" s="438"/>
      <c r="D64" s="14"/>
    </row>
    <row r="65" spans="1:4" x14ac:dyDescent="0.25">
      <c r="A65" s="3" t="s">
        <v>55</v>
      </c>
      <c r="B65" s="13" t="str">
        <f>'Register Configuration'!C27&amp;"MHz"</f>
        <v>400MHz</v>
      </c>
      <c r="C65" s="14"/>
      <c r="D65" s="14"/>
    </row>
    <row r="66" spans="1:4" x14ac:dyDescent="0.25">
      <c r="A66" s="3" t="s">
        <v>232</v>
      </c>
      <c r="B66" s="17">
        <f>'Register Configuration'!C20</f>
        <v>8</v>
      </c>
    </row>
    <row r="67" spans="1:4" x14ac:dyDescent="0.25">
      <c r="A67" s="3" t="s">
        <v>233</v>
      </c>
      <c r="B67" s="17">
        <f>'Register Configuration'!C21</f>
        <v>2</v>
      </c>
      <c r="C67" s="14"/>
      <c r="D67" s="14"/>
    </row>
    <row r="68" spans="1:4" x14ac:dyDescent="0.25">
      <c r="A68" s="3" t="s">
        <v>344</v>
      </c>
      <c r="B68" s="17">
        <f>'Register Configuration'!C22</f>
        <v>16</v>
      </c>
      <c r="C68" s="14"/>
      <c r="D68" s="14"/>
    </row>
    <row r="69" spans="1:4" x14ac:dyDescent="0.25">
      <c r="A69" s="3" t="s">
        <v>59</v>
      </c>
      <c r="B69" s="17">
        <f>'Register Configuration'!C25</f>
        <v>8</v>
      </c>
    </row>
    <row r="70" spans="1:4" x14ac:dyDescent="0.25">
      <c r="A70" t="s">
        <v>41</v>
      </c>
      <c r="B70" s="17">
        <f>'Register Configuration'!C23</f>
        <v>15</v>
      </c>
    </row>
    <row r="71" spans="1:4" x14ac:dyDescent="0.25">
      <c r="A71" t="s">
        <v>42</v>
      </c>
      <c r="B71" s="17">
        <f>'Register Configuration'!C24</f>
        <v>10</v>
      </c>
    </row>
    <row r="72" spans="1:4" x14ac:dyDescent="0.25">
      <c r="A72" s="3" t="s">
        <v>234</v>
      </c>
      <c r="B72" s="17">
        <f>'Register Configuration'!C26</f>
        <v>32</v>
      </c>
    </row>
    <row r="73" spans="1:4" x14ac:dyDescent="0.25">
      <c r="A73" t="s">
        <v>11</v>
      </c>
    </row>
    <row r="75" spans="1:4" x14ac:dyDescent="0.25">
      <c r="A75" t="s">
        <v>257</v>
      </c>
    </row>
    <row r="76" spans="1:4" x14ac:dyDescent="0.25">
      <c r="A76" t="s">
        <v>35</v>
      </c>
      <c r="B76" t="s">
        <v>246</v>
      </c>
      <c r="C76" t="s">
        <v>256</v>
      </c>
      <c r="D76" t="s">
        <v>345</v>
      </c>
    </row>
    <row r="78" spans="1:4" x14ac:dyDescent="0.25">
      <c r="A78" t="s">
        <v>35</v>
      </c>
      <c r="B78" t="s">
        <v>346</v>
      </c>
      <c r="C78" s="3" t="s">
        <v>528</v>
      </c>
      <c r="D78" t="s">
        <v>347</v>
      </c>
    </row>
    <row r="80" spans="1:4" x14ac:dyDescent="0.25">
      <c r="A80" t="s">
        <v>11</v>
      </c>
    </row>
    <row r="81" spans="1:6" x14ac:dyDescent="0.25">
      <c r="A81" t="s">
        <v>348</v>
      </c>
    </row>
    <row r="82" spans="1:6" x14ac:dyDescent="0.25">
      <c r="A82" t="s">
        <v>349</v>
      </c>
    </row>
    <row r="83" spans="1:6" x14ac:dyDescent="0.25">
      <c r="A83" t="s">
        <v>11</v>
      </c>
    </row>
    <row r="84" spans="1:6" x14ac:dyDescent="0.25">
      <c r="A84" t="s">
        <v>35</v>
      </c>
      <c r="B84" t="s">
        <v>264</v>
      </c>
      <c r="C84" t="s">
        <v>414</v>
      </c>
      <c r="D84" t="s">
        <v>391</v>
      </c>
    </row>
    <row r="86" spans="1:6" x14ac:dyDescent="0.25">
      <c r="A86" s="3" t="s">
        <v>469</v>
      </c>
      <c r="B86" s="3" t="s">
        <v>470</v>
      </c>
      <c r="C86" s="3" t="s">
        <v>530</v>
      </c>
      <c r="D86" s="3" t="s">
        <v>471</v>
      </c>
    </row>
    <row r="88" spans="1:6" x14ac:dyDescent="0.25">
      <c r="A88" t="s">
        <v>353</v>
      </c>
    </row>
    <row r="89" spans="1:6" x14ac:dyDescent="0.25">
      <c r="A89" t="s">
        <v>35</v>
      </c>
      <c r="B89" t="s">
        <v>235</v>
      </c>
      <c r="C89" s="14" t="s">
        <v>239</v>
      </c>
      <c r="D89" t="s">
        <v>240</v>
      </c>
      <c r="E89" s="41" t="s">
        <v>66</v>
      </c>
      <c r="F89" s="42" t="s">
        <v>67</v>
      </c>
    </row>
    <row r="90" spans="1:6" x14ac:dyDescent="0.25">
      <c r="A90" t="s">
        <v>35</v>
      </c>
      <c r="B90" t="s">
        <v>236</v>
      </c>
      <c r="C90" s="14" t="s">
        <v>239</v>
      </c>
      <c r="D90" s="3" t="s">
        <v>241</v>
      </c>
      <c r="E90" s="41" t="s">
        <v>16</v>
      </c>
      <c r="F90" s="43" t="str">
        <f>IF(E90=C90,"",C90)</f>
        <v>0x33333333</v>
      </c>
    </row>
    <row r="91" spans="1:6" x14ac:dyDescent="0.25">
      <c r="A91" t="s">
        <v>35</v>
      </c>
      <c r="B91" t="s">
        <v>237</v>
      </c>
      <c r="C91" s="14" t="s">
        <v>239</v>
      </c>
      <c r="D91" s="3" t="s">
        <v>242</v>
      </c>
      <c r="E91" s="41" t="s">
        <v>15</v>
      </c>
      <c r="F91" s="43" t="str">
        <f t="shared" ref="F91:F185" si="0">IF(E91=C91,"",C91)</f>
        <v>0x33333333</v>
      </c>
    </row>
    <row r="92" spans="1:6" x14ac:dyDescent="0.25">
      <c r="A92" t="s">
        <v>35</v>
      </c>
      <c r="B92" t="s">
        <v>238</v>
      </c>
      <c r="C92" s="14" t="s">
        <v>239</v>
      </c>
      <c r="D92" t="s">
        <v>243</v>
      </c>
      <c r="E92" s="41" t="s">
        <v>15</v>
      </c>
      <c r="F92" s="43" t="str">
        <f t="shared" si="0"/>
        <v>0x33333333</v>
      </c>
    </row>
    <row r="93" spans="1:6" x14ac:dyDescent="0.25">
      <c r="C93" s="14"/>
      <c r="E93" s="41"/>
      <c r="F93" s="43"/>
    </row>
    <row r="94" spans="1:6" x14ac:dyDescent="0.25">
      <c r="A94" t="s">
        <v>354</v>
      </c>
      <c r="C94" s="14"/>
      <c r="E94" s="41"/>
      <c r="F94" s="43"/>
    </row>
    <row r="95" spans="1:6" x14ac:dyDescent="0.25">
      <c r="A95" t="s">
        <v>35</v>
      </c>
      <c r="B95" t="s">
        <v>355</v>
      </c>
      <c r="C95" s="14" t="s">
        <v>359</v>
      </c>
      <c r="D95" t="s">
        <v>360</v>
      </c>
      <c r="E95" s="41"/>
      <c r="F95" s="43"/>
    </row>
    <row r="96" spans="1:6" x14ac:dyDescent="0.25">
      <c r="A96" t="s">
        <v>35</v>
      </c>
      <c r="B96" t="s">
        <v>356</v>
      </c>
      <c r="C96" s="14" t="s">
        <v>359</v>
      </c>
      <c r="D96" t="s">
        <v>360</v>
      </c>
      <c r="E96" s="41"/>
      <c r="F96" s="43"/>
    </row>
    <row r="97" spans="1:6" x14ac:dyDescent="0.25">
      <c r="A97" t="s">
        <v>35</v>
      </c>
      <c r="B97" t="s">
        <v>357</v>
      </c>
      <c r="C97" s="14" t="s">
        <v>359</v>
      </c>
      <c r="D97" t="s">
        <v>360</v>
      </c>
      <c r="E97" s="41"/>
      <c r="F97" s="43"/>
    </row>
    <row r="98" spans="1:6" x14ac:dyDescent="0.25">
      <c r="A98" t="s">
        <v>35</v>
      </c>
      <c r="B98" t="s">
        <v>358</v>
      </c>
      <c r="C98" s="14" t="s">
        <v>359</v>
      </c>
      <c r="D98" t="s">
        <v>360</v>
      </c>
      <c r="E98" s="41"/>
      <c r="F98" s="43"/>
    </row>
    <row r="99" spans="1:6" x14ac:dyDescent="0.25">
      <c r="C99" s="14"/>
      <c r="E99" s="41"/>
      <c r="F99" s="43"/>
    </row>
    <row r="100" spans="1:6" x14ac:dyDescent="0.25">
      <c r="A100" t="s">
        <v>361</v>
      </c>
      <c r="C100" s="14"/>
      <c r="E100" s="41"/>
      <c r="F100" s="43"/>
    </row>
    <row r="101" spans="1:6" x14ac:dyDescent="0.25">
      <c r="A101" t="s">
        <v>362</v>
      </c>
      <c r="C101" s="14"/>
      <c r="E101" s="41"/>
      <c r="F101" s="43"/>
    </row>
    <row r="102" spans="1:6" x14ac:dyDescent="0.25">
      <c r="A102" t="s">
        <v>363</v>
      </c>
      <c r="C102" s="14"/>
      <c r="E102" s="41"/>
      <c r="F102" s="43"/>
    </row>
    <row r="103" spans="1:6" x14ac:dyDescent="0.25">
      <c r="A103" t="s">
        <v>365</v>
      </c>
      <c r="C103" s="14"/>
      <c r="E103" s="41"/>
      <c r="F103" s="43"/>
    </row>
    <row r="104" spans="1:6" x14ac:dyDescent="0.25">
      <c r="A104" t="s">
        <v>364</v>
      </c>
      <c r="C104" s="14"/>
      <c r="E104" s="41"/>
      <c r="F104" s="43"/>
    </row>
    <row r="105" spans="1:6" x14ac:dyDescent="0.25">
      <c r="A105" t="s">
        <v>35</v>
      </c>
      <c r="B105" t="s">
        <v>272</v>
      </c>
      <c r="C105" s="13" t="str">
        <f>INDEX('Register Configuration'!I$213:I$214, MATCH(LEFT(B105,10),'Register Configuration'!H$213:H$214,0),1)</f>
        <v>0x3C3A3C3C</v>
      </c>
      <c r="D105" s="213" t="s">
        <v>401</v>
      </c>
      <c r="E105" s="41"/>
      <c r="F105" s="43"/>
    </row>
    <row r="106" spans="1:6" x14ac:dyDescent="0.25">
      <c r="C106" s="14"/>
      <c r="E106" s="41"/>
      <c r="F106" s="43"/>
    </row>
    <row r="107" spans="1:6" x14ac:dyDescent="0.25">
      <c r="A107" t="s">
        <v>35</v>
      </c>
      <c r="B107" t="s">
        <v>273</v>
      </c>
      <c r="C107" s="13" t="str">
        <f>INDEX('Register Configuration'!I$213:I$214, MATCH(LEFT(B107,10),'Register Configuration'!H$213:H$214,0),1)</f>
        <v>0x24293625</v>
      </c>
      <c r="D107" s="3" t="s">
        <v>402</v>
      </c>
      <c r="E107" s="41"/>
      <c r="F107" s="43"/>
    </row>
    <row r="108" spans="1:6" x14ac:dyDescent="0.25">
      <c r="C108" s="14"/>
      <c r="E108" s="41"/>
      <c r="F108" s="43"/>
    </row>
    <row r="109" spans="1:6" x14ac:dyDescent="0.25">
      <c r="A109" t="s">
        <v>35</v>
      </c>
      <c r="B109" t="s">
        <v>271</v>
      </c>
      <c r="C109" s="14" t="s">
        <v>366</v>
      </c>
      <c r="E109" s="41"/>
      <c r="F109" s="43"/>
    </row>
    <row r="110" spans="1:6" x14ac:dyDescent="0.25">
      <c r="C110" s="14"/>
      <c r="E110" s="41"/>
      <c r="F110" s="43"/>
    </row>
    <row r="111" spans="1:6" x14ac:dyDescent="0.25">
      <c r="A111" t="s">
        <v>35</v>
      </c>
      <c r="B111" s="3" t="s">
        <v>472</v>
      </c>
      <c r="C111" s="14" t="s">
        <v>473</v>
      </c>
      <c r="D111" t="s">
        <v>474</v>
      </c>
      <c r="E111" s="41"/>
      <c r="F111" s="43"/>
    </row>
    <row r="112" spans="1:6" x14ac:dyDescent="0.25">
      <c r="C112" s="14"/>
      <c r="E112" s="41"/>
      <c r="F112" s="43"/>
    </row>
    <row r="113" spans="1:6" x14ac:dyDescent="0.25">
      <c r="A113" t="s">
        <v>35</v>
      </c>
      <c r="B113" t="s">
        <v>350</v>
      </c>
      <c r="C113" t="s">
        <v>351</v>
      </c>
      <c r="D113" t="s">
        <v>352</v>
      </c>
    </row>
    <row r="114" spans="1:6" x14ac:dyDescent="0.25">
      <c r="A114" t="s">
        <v>11</v>
      </c>
    </row>
    <row r="115" spans="1:6" x14ac:dyDescent="0.25">
      <c r="A115" t="s">
        <v>367</v>
      </c>
    </row>
    <row r="116" spans="1:6" x14ac:dyDescent="0.25">
      <c r="A116" t="s">
        <v>11</v>
      </c>
    </row>
    <row r="117" spans="1:6" x14ac:dyDescent="0.25">
      <c r="C117" s="14"/>
      <c r="E117" s="41"/>
      <c r="F117" s="43"/>
    </row>
    <row r="118" spans="1:6" x14ac:dyDescent="0.25">
      <c r="A118" s="3" t="s">
        <v>403</v>
      </c>
      <c r="C118" s="14"/>
      <c r="E118" s="41"/>
      <c r="F118" s="43"/>
    </row>
    <row r="119" spans="1:6" x14ac:dyDescent="0.25">
      <c r="A119" t="s">
        <v>35</v>
      </c>
      <c r="B119" t="s">
        <v>247</v>
      </c>
      <c r="C119" s="13" t="str">
        <f>INDEX('Register Configuration'!I$54:I$135, MATCH(LEFT(B119,10),'Register Configuration'!H$54:H$135,0),1)</f>
        <v>0x53574333</v>
      </c>
      <c r="D119" t="s">
        <v>258</v>
      </c>
      <c r="E119" s="41"/>
      <c r="F119" s="43"/>
    </row>
    <row r="120" spans="1:6" x14ac:dyDescent="0.25">
      <c r="A120" t="s">
        <v>35</v>
      </c>
      <c r="B120" t="s">
        <v>253</v>
      </c>
      <c r="C120" s="13" t="str">
        <f>INDEX('Register Configuration'!I$54:I$135, MATCH(LEFT(B120,10),'Register Configuration'!H$54:H$135,0),1)</f>
        <v>0x00020012</v>
      </c>
      <c r="D120" t="s">
        <v>368</v>
      </c>
      <c r="E120" s="41"/>
      <c r="F120" s="43"/>
    </row>
    <row r="121" spans="1:6" x14ac:dyDescent="0.25">
      <c r="A121" t="s">
        <v>35</v>
      </c>
      <c r="B121" t="s">
        <v>248</v>
      </c>
      <c r="C121" s="13" t="str">
        <f>INDEX('Register Configuration'!I$54:I$135, MATCH(LEFT(B121,10),'Register Configuration'!H$54:H$135,0),1)</f>
        <v>0x00100B22</v>
      </c>
      <c r="D121" t="s">
        <v>259</v>
      </c>
      <c r="E121" s="41"/>
      <c r="F121" s="43"/>
    </row>
    <row r="122" spans="1:6" x14ac:dyDescent="0.25">
      <c r="A122" t="s">
        <v>35</v>
      </c>
      <c r="B122" t="s">
        <v>249</v>
      </c>
      <c r="C122" s="13" t="str">
        <f>INDEX('Register Configuration'!I$54:I$135, MATCH(LEFT(B122,10),'Register Configuration'!H$54:H$135,0),1)</f>
        <v>0x00C700DB</v>
      </c>
      <c r="D122" t="s">
        <v>260</v>
      </c>
      <c r="E122" s="41"/>
      <c r="F122" s="43"/>
    </row>
    <row r="123" spans="1:6" x14ac:dyDescent="0.25">
      <c r="A123" t="s">
        <v>35</v>
      </c>
      <c r="B123" t="s">
        <v>244</v>
      </c>
      <c r="C123" s="13" t="str">
        <f>INDEX('Register Configuration'!I$54:I$135, MATCH(LEFT(B123,10),'Register Configuration'!H$54:H$135,0),1)</f>
        <v>0x00201718</v>
      </c>
      <c r="D123" s="3" t="s">
        <v>245</v>
      </c>
      <c r="E123" s="41" t="s">
        <v>17</v>
      </c>
      <c r="F123" s="43" t="str">
        <f t="shared" si="0"/>
        <v>0x00201718</v>
      </c>
    </row>
    <row r="124" spans="1:6" x14ac:dyDescent="0.25">
      <c r="A124" t="s">
        <v>35</v>
      </c>
      <c r="B124" t="s">
        <v>250</v>
      </c>
      <c r="C124" s="13" t="str">
        <f>INDEX('Register Configuration'!I$54:I$135, MATCH(LEFT(B124,10),'Register Configuration'!H$54:H$135,0),1)</f>
        <v>0x0F9F26D2</v>
      </c>
      <c r="D124" s="3" t="s">
        <v>370</v>
      </c>
      <c r="E124" s="41"/>
      <c r="F124" s="43"/>
    </row>
    <row r="125" spans="1:6" x14ac:dyDescent="0.25">
      <c r="A125" t="s">
        <v>35</v>
      </c>
      <c r="B125" t="s">
        <v>251</v>
      </c>
      <c r="C125" s="13" t="str">
        <f>INDEX('Register Configuration'!I$54:I$135, MATCH(LEFT(B125,10),'Register Configuration'!H$54:H$135,0),1)</f>
        <v>0x009F0E10</v>
      </c>
      <c r="D125" s="3" t="s">
        <v>261</v>
      </c>
      <c r="E125" s="41"/>
      <c r="F125" s="43"/>
    </row>
    <row r="126" spans="1:6" x14ac:dyDescent="0.25">
      <c r="A126" t="s">
        <v>35</v>
      </c>
      <c r="B126" t="s">
        <v>369</v>
      </c>
      <c r="C126" s="13" t="str">
        <f>INDEX('Register Configuration'!I$54:I$135, MATCH(LEFT(B126,10),'Register Configuration'!H$54:H$135,0),1)</f>
        <v>0x00170778</v>
      </c>
      <c r="D126" s="3" t="s">
        <v>371</v>
      </c>
      <c r="E126" s="41"/>
      <c r="F126" s="43"/>
    </row>
    <row r="127" spans="1:6" x14ac:dyDescent="0.25">
      <c r="A127" t="s">
        <v>35</v>
      </c>
      <c r="B127" t="s">
        <v>252</v>
      </c>
      <c r="C127" s="13" t="str">
        <f>INDEX('Register Configuration'!I$54:I$135, MATCH(LEFT(B127,10),'Register Configuration'!H$54:H$135,0),1)</f>
        <v>0x00000000</v>
      </c>
      <c r="D127" s="3" t="s">
        <v>262</v>
      </c>
      <c r="E127" s="41"/>
      <c r="F127" s="43"/>
    </row>
    <row r="128" spans="1:6" x14ac:dyDescent="0.25">
      <c r="A128" t="s">
        <v>35</v>
      </c>
      <c r="B128" t="s">
        <v>254</v>
      </c>
      <c r="C128" s="13" t="str">
        <f>INDEX('Register Configuration'!I$54:I$135, MATCH(LEFT(B128,10),'Register Configuration'!H$54:H$135,0),1)</f>
        <v>0x0000005F</v>
      </c>
      <c r="D128" s="3" t="s">
        <v>372</v>
      </c>
      <c r="E128" s="41"/>
      <c r="F128" s="43"/>
    </row>
    <row r="129" spans="1:6" x14ac:dyDescent="0.25">
      <c r="A129" t="s">
        <v>35</v>
      </c>
      <c r="B129" s="3" t="s">
        <v>255</v>
      </c>
      <c r="C129" s="13" t="str">
        <f>INDEX('Register Configuration'!I$54:I$135, MATCH(LEFT(B129,10),'Register Configuration'!H$54:H$135,0),1)</f>
        <v>0xC4190000</v>
      </c>
      <c r="D129" s="3" t="s">
        <v>263</v>
      </c>
      <c r="E129" s="41"/>
      <c r="F129" s="43"/>
    </row>
    <row r="130" spans="1:6" x14ac:dyDescent="0.25">
      <c r="C130" s="14"/>
      <c r="D130" s="3"/>
      <c r="E130" s="41"/>
      <c r="F130" s="43"/>
    </row>
    <row r="131" spans="1:6" x14ac:dyDescent="0.25">
      <c r="A131" s="213" t="s">
        <v>418</v>
      </c>
      <c r="C131" s="14"/>
      <c r="D131" s="3"/>
      <c r="E131" s="41"/>
      <c r="F131" s="43"/>
    </row>
    <row r="132" spans="1:6" x14ac:dyDescent="0.25">
      <c r="A132" s="213" t="s">
        <v>419</v>
      </c>
      <c r="C132" s="14"/>
      <c r="D132" s="3"/>
      <c r="E132" s="41"/>
      <c r="F132" s="43"/>
    </row>
    <row r="133" spans="1:6" x14ac:dyDescent="0.25">
      <c r="A133" s="213" t="s">
        <v>420</v>
      </c>
      <c r="C133" s="14"/>
      <c r="D133" s="3"/>
      <c r="E133" s="41"/>
      <c r="F133" s="43"/>
    </row>
    <row r="134" spans="1:6" x14ac:dyDescent="0.25">
      <c r="A134" s="213" t="s">
        <v>421</v>
      </c>
      <c r="C134" s="14"/>
      <c r="D134" s="3"/>
      <c r="E134" s="41"/>
      <c r="F134" s="43"/>
    </row>
    <row r="135" spans="1:6" x14ac:dyDescent="0.25">
      <c r="A135" t="s">
        <v>35</v>
      </c>
      <c r="B135" t="s">
        <v>246</v>
      </c>
      <c r="C135" s="14" t="s">
        <v>422</v>
      </c>
      <c r="D135" s="295" t="s">
        <v>423</v>
      </c>
      <c r="E135" s="41"/>
      <c r="F135" s="43"/>
    </row>
    <row r="136" spans="1:6" x14ac:dyDescent="0.25">
      <c r="A136" t="str">
        <f>IF('Register Configuration'!C21 = 1, "//", )&amp;"setmem /32"</f>
        <v>setmem /32</v>
      </c>
      <c r="B136" t="s">
        <v>246</v>
      </c>
      <c r="C136" s="14" t="s">
        <v>424</v>
      </c>
      <c r="D136" s="295" t="s">
        <v>425</v>
      </c>
      <c r="E136" s="41"/>
      <c r="F136" s="43"/>
    </row>
    <row r="137" spans="1:6" x14ac:dyDescent="0.25">
      <c r="C137" s="14"/>
      <c r="D137" s="3"/>
      <c r="E137" s="41"/>
      <c r="F137" s="43"/>
    </row>
    <row r="138" spans="1:6" x14ac:dyDescent="0.25">
      <c r="A138" t="s">
        <v>11</v>
      </c>
      <c r="C138" s="14"/>
      <c r="D138" s="3"/>
      <c r="E138" s="41"/>
      <c r="F138" s="43"/>
    </row>
    <row r="139" spans="1:6" x14ac:dyDescent="0.25">
      <c r="A139" t="s">
        <v>373</v>
      </c>
      <c r="C139" s="14"/>
      <c r="D139" s="3"/>
      <c r="E139" s="41"/>
      <c r="F139" s="43"/>
    </row>
    <row r="140" spans="1:6" x14ac:dyDescent="0.25">
      <c r="A140" t="s">
        <v>11</v>
      </c>
      <c r="C140" s="14"/>
      <c r="D140" s="3"/>
      <c r="E140" s="41"/>
      <c r="F140" s="43"/>
    </row>
    <row r="141" spans="1:6" x14ac:dyDescent="0.25">
      <c r="A141" t="s">
        <v>374</v>
      </c>
      <c r="C141" s="14"/>
      <c r="D141" s="3"/>
      <c r="E141" s="41"/>
      <c r="F141" s="43"/>
    </row>
    <row r="142" spans="1:6" x14ac:dyDescent="0.25">
      <c r="A142" t="s">
        <v>35</v>
      </c>
      <c r="B142" t="s">
        <v>246</v>
      </c>
      <c r="C142" s="14" t="s">
        <v>389</v>
      </c>
      <c r="D142" s="3" t="s">
        <v>376</v>
      </c>
      <c r="E142" s="41"/>
      <c r="F142" s="43"/>
    </row>
    <row r="143" spans="1:6" x14ac:dyDescent="0.25">
      <c r="A143" t="s">
        <v>35</v>
      </c>
      <c r="B143" t="s">
        <v>246</v>
      </c>
      <c r="C143" s="14" t="s">
        <v>388</v>
      </c>
      <c r="D143" s="3" t="s">
        <v>377</v>
      </c>
      <c r="E143" s="41"/>
      <c r="F143" s="43"/>
    </row>
    <row r="144" spans="1:6" x14ac:dyDescent="0.25">
      <c r="A144" t="s">
        <v>35</v>
      </c>
      <c r="B144" t="s">
        <v>246</v>
      </c>
      <c r="C144" s="13" t="str">
        <f>'Register Configuration'!$I$145</f>
        <v>0x83018030</v>
      </c>
      <c r="D144" s="3" t="s">
        <v>378</v>
      </c>
      <c r="E144" s="41"/>
      <c r="F144" s="43"/>
    </row>
    <row r="145" spans="1:6" x14ac:dyDescent="0.25">
      <c r="A145" t="s">
        <v>35</v>
      </c>
      <c r="B145" t="s">
        <v>246</v>
      </c>
      <c r="C145" s="13" t="str">
        <f>'Register Configuration'!$I$158</f>
        <v>0x04028030</v>
      </c>
      <c r="D145" s="3" t="s">
        <v>379</v>
      </c>
      <c r="E145" s="41"/>
      <c r="F145" s="43"/>
    </row>
    <row r="146" spans="1:6" x14ac:dyDescent="0.25">
      <c r="A146" t="s">
        <v>35</v>
      </c>
      <c r="B146" t="s">
        <v>246</v>
      </c>
      <c r="C146" s="13" t="str">
        <f>'Register Configuration'!$I$168</f>
        <v>0x01038030</v>
      </c>
      <c r="D146" s="3" t="s">
        <v>380</v>
      </c>
      <c r="E146" s="41"/>
      <c r="F146" s="43"/>
    </row>
    <row r="147" spans="1:6" x14ac:dyDescent="0.25">
      <c r="A147" t="s">
        <v>375</v>
      </c>
      <c r="C147" s="14"/>
      <c r="D147" s="3"/>
      <c r="E147" s="41"/>
      <c r="F147" s="43"/>
    </row>
    <row r="148" spans="1:6" x14ac:dyDescent="0.25">
      <c r="A148" s="3" t="str">
        <f>IF('Register Configuration'!C21 = 1, "//", )&amp;"setmem /32"</f>
        <v>setmem /32</v>
      </c>
      <c r="B148" t="s">
        <v>246</v>
      </c>
      <c r="C148" s="14" t="s">
        <v>387</v>
      </c>
      <c r="D148" s="3" t="s">
        <v>381</v>
      </c>
      <c r="E148" s="41"/>
      <c r="F148" s="43"/>
    </row>
    <row r="149" spans="1:6" x14ac:dyDescent="0.25">
      <c r="A149" s="3" t="str">
        <f>IF('Register Configuration'!C21 = 1, "//", )&amp;"setmem /32"</f>
        <v>setmem /32</v>
      </c>
      <c r="B149" t="s">
        <v>246</v>
      </c>
      <c r="C149" s="14" t="s">
        <v>386</v>
      </c>
      <c r="D149" s="3" t="s">
        <v>382</v>
      </c>
      <c r="E149" s="41"/>
      <c r="F149" s="43"/>
    </row>
    <row r="150" spans="1:6" x14ac:dyDescent="0.25">
      <c r="A150" s="3" t="str">
        <f>IF('Register Configuration'!C21 = 1, "//", )&amp;"setmem /32"</f>
        <v>setmem /32</v>
      </c>
      <c r="B150" t="s">
        <v>246</v>
      </c>
      <c r="C150" s="13" t="str">
        <f>'Register Configuration'!$I$181</f>
        <v>0x83018038</v>
      </c>
      <c r="D150" s="3" t="s">
        <v>383</v>
      </c>
      <c r="E150" s="41"/>
      <c r="F150" s="43"/>
    </row>
    <row r="151" spans="1:6" x14ac:dyDescent="0.25">
      <c r="A151" s="3" t="str">
        <f>IF('Register Configuration'!C21 = 1, "//", )&amp;"setmem /32"</f>
        <v>setmem /32</v>
      </c>
      <c r="B151" t="s">
        <v>246</v>
      </c>
      <c r="C151" s="13" t="str">
        <f>'Register Configuration'!$I$194</f>
        <v>0x04028038</v>
      </c>
      <c r="D151" s="3" t="s">
        <v>384</v>
      </c>
      <c r="E151" s="41"/>
      <c r="F151" s="43"/>
    </row>
    <row r="152" spans="1:6" x14ac:dyDescent="0.25">
      <c r="A152" s="3" t="str">
        <f>IF('Register Configuration'!C21 = 1, "//", )&amp;"setmem /32"</f>
        <v>setmem /32</v>
      </c>
      <c r="B152" t="s">
        <v>246</v>
      </c>
      <c r="C152" s="13" t="str">
        <f>'Register Configuration'!$I$204</f>
        <v>0x01038038</v>
      </c>
      <c r="D152" s="3" t="s">
        <v>385</v>
      </c>
      <c r="E152" s="41"/>
      <c r="F152" s="43"/>
    </row>
    <row r="153" spans="1:6" x14ac:dyDescent="0.25">
      <c r="C153" s="14"/>
      <c r="D153" s="3"/>
      <c r="E153" s="41"/>
      <c r="F153" s="43"/>
    </row>
    <row r="154" spans="1:6" x14ac:dyDescent="0.25">
      <c r="A154" t="s">
        <v>35</v>
      </c>
      <c r="B154" t="s">
        <v>270</v>
      </c>
      <c r="C154" s="14" t="s">
        <v>531</v>
      </c>
      <c r="D154" s="3" t="s">
        <v>532</v>
      </c>
      <c r="E154" s="41"/>
      <c r="F154" s="43"/>
    </row>
    <row r="155" spans="1:6" x14ac:dyDescent="0.25">
      <c r="A155" t="s">
        <v>35</v>
      </c>
      <c r="B155" t="s">
        <v>270</v>
      </c>
      <c r="C155" s="14" t="s">
        <v>531</v>
      </c>
      <c r="D155" s="3" t="s">
        <v>532</v>
      </c>
      <c r="E155" s="41"/>
      <c r="F155" s="43"/>
    </row>
    <row r="156" spans="1:6" x14ac:dyDescent="0.25">
      <c r="C156" s="14"/>
      <c r="D156" s="3"/>
      <c r="E156" s="41"/>
      <c r="F156" s="43"/>
    </row>
    <row r="157" spans="1:6" x14ac:dyDescent="0.25">
      <c r="A157" t="s">
        <v>269</v>
      </c>
      <c r="C157" s="14"/>
      <c r="D157" s="3"/>
      <c r="E157" s="41"/>
      <c r="F157" s="43"/>
    </row>
    <row r="158" spans="1:6" x14ac:dyDescent="0.25">
      <c r="A158" t="s">
        <v>390</v>
      </c>
      <c r="C158" s="14"/>
      <c r="D158" s="3"/>
      <c r="E158" s="41"/>
      <c r="F158" s="43"/>
    </row>
    <row r="159" spans="1:6" x14ac:dyDescent="0.25">
      <c r="A159" t="s">
        <v>35</v>
      </c>
      <c r="B159" t="s">
        <v>265</v>
      </c>
      <c r="C159" s="13" t="str">
        <f>INDEX('Register Configuration'!I$54:I$135, MATCH(LEFT(B159,10),'Register Configuration'!H$54:H$135,0),1)</f>
        <v>0x00001800</v>
      </c>
      <c r="D159" s="3" t="s">
        <v>267</v>
      </c>
      <c r="E159" s="41"/>
      <c r="F159" s="43"/>
    </row>
    <row r="160" spans="1:6" x14ac:dyDescent="0.25">
      <c r="D160" s="3"/>
      <c r="E160" s="41"/>
      <c r="F160" s="43"/>
    </row>
    <row r="161" spans="1:6" x14ac:dyDescent="0.25">
      <c r="A161" t="s">
        <v>35</v>
      </c>
      <c r="B161" t="s">
        <v>266</v>
      </c>
      <c r="C161" t="s">
        <v>366</v>
      </c>
      <c r="D161" s="3" t="s">
        <v>268</v>
      </c>
      <c r="E161" s="41"/>
      <c r="F161" s="43"/>
    </row>
    <row r="162" spans="1:6" x14ac:dyDescent="0.25">
      <c r="D162" s="3"/>
      <c r="E162" s="41"/>
      <c r="F162" s="43"/>
    </row>
    <row r="163" spans="1:6" x14ac:dyDescent="0.25">
      <c r="A163" t="s">
        <v>35</v>
      </c>
      <c r="B163" t="s">
        <v>253</v>
      </c>
      <c r="C163" s="13" t="str">
        <f>'Register Configuration'!$I$66</f>
        <v>0x00020052</v>
      </c>
      <c r="D163" s="3" t="s">
        <v>392</v>
      </c>
      <c r="E163" s="41"/>
      <c r="F163" s="43"/>
    </row>
    <row r="164" spans="1:6" x14ac:dyDescent="0.25">
      <c r="C164" s="14"/>
      <c r="E164" s="41"/>
      <c r="F164" s="43"/>
    </row>
    <row r="165" spans="1:6" x14ac:dyDescent="0.25">
      <c r="A165" t="s">
        <v>35</v>
      </c>
      <c r="B165" t="s">
        <v>393</v>
      </c>
      <c r="C165" s="14" t="s">
        <v>394</v>
      </c>
      <c r="D165" t="s">
        <v>395</v>
      </c>
      <c r="E165" s="41"/>
      <c r="F165" s="43"/>
    </row>
    <row r="166" spans="1:6" x14ac:dyDescent="0.25">
      <c r="C166" s="14"/>
      <c r="E166" s="41"/>
      <c r="F166" s="43"/>
    </row>
    <row r="167" spans="1:6" x14ac:dyDescent="0.25">
      <c r="A167" t="s">
        <v>35</v>
      </c>
      <c r="B167" t="s">
        <v>246</v>
      </c>
      <c r="C167" s="213" t="s">
        <v>15</v>
      </c>
      <c r="D167" s="3" t="s">
        <v>274</v>
      </c>
      <c r="E167" s="41" t="s">
        <v>19</v>
      </c>
      <c r="F167" s="43" t="str">
        <f t="shared" si="0"/>
        <v>0x00000000</v>
      </c>
    </row>
    <row r="168" spans="1:6" x14ac:dyDescent="0.25">
      <c r="C168" s="14"/>
      <c r="E168" s="41" t="s">
        <v>20</v>
      </c>
      <c r="F168" s="43">
        <f t="shared" si="0"/>
        <v>0</v>
      </c>
    </row>
    <row r="169" spans="1:6" x14ac:dyDescent="0.25">
      <c r="C169" s="14"/>
      <c r="E169" s="41" t="s">
        <v>21</v>
      </c>
      <c r="F169" s="43">
        <f t="shared" si="0"/>
        <v>0</v>
      </c>
    </row>
    <row r="170" spans="1:6" x14ac:dyDescent="0.25">
      <c r="C170" s="213"/>
      <c r="E170" s="41" t="s">
        <v>15</v>
      </c>
      <c r="F170" s="43">
        <f t="shared" si="0"/>
        <v>0</v>
      </c>
    </row>
    <row r="171" spans="1:6" x14ac:dyDescent="0.25">
      <c r="C171" s="14"/>
      <c r="E171" s="41" t="s">
        <v>22</v>
      </c>
      <c r="F171" s="43">
        <f t="shared" si="0"/>
        <v>0</v>
      </c>
    </row>
    <row r="172" spans="1:6" x14ac:dyDescent="0.25">
      <c r="C172" s="14"/>
      <c r="E172" s="41" t="s">
        <v>23</v>
      </c>
      <c r="F172" s="43">
        <f t="shared" si="0"/>
        <v>0</v>
      </c>
    </row>
    <row r="173" spans="1:6" x14ac:dyDescent="0.25">
      <c r="C173" s="14"/>
      <c r="E173" s="41" t="s">
        <v>24</v>
      </c>
      <c r="F173" s="43">
        <f t="shared" si="0"/>
        <v>0</v>
      </c>
    </row>
    <row r="174" spans="1:6" x14ac:dyDescent="0.25">
      <c r="C174" s="14"/>
      <c r="E174" s="41" t="s">
        <v>25</v>
      </c>
      <c r="F174" s="43">
        <f t="shared" si="0"/>
        <v>0</v>
      </c>
    </row>
    <row r="175" spans="1:6" x14ac:dyDescent="0.25">
      <c r="C175" s="14"/>
      <c r="E175" s="41" t="s">
        <v>18</v>
      </c>
      <c r="F175" s="43">
        <f t="shared" si="0"/>
        <v>0</v>
      </c>
    </row>
    <row r="176" spans="1:6" x14ac:dyDescent="0.25">
      <c r="C176" s="14"/>
      <c r="E176" s="41" t="s">
        <v>26</v>
      </c>
      <c r="F176" s="43">
        <f t="shared" si="0"/>
        <v>0</v>
      </c>
    </row>
    <row r="177" spans="1:6" x14ac:dyDescent="0.25">
      <c r="C177" s="14"/>
      <c r="E177" s="41" t="s">
        <v>27</v>
      </c>
      <c r="F177" s="43">
        <f t="shared" si="0"/>
        <v>0</v>
      </c>
    </row>
    <row r="178" spans="1:6" x14ac:dyDescent="0.25">
      <c r="C178" s="14"/>
      <c r="E178" s="41" t="s">
        <v>15</v>
      </c>
      <c r="F178" s="43">
        <f t="shared" si="0"/>
        <v>0</v>
      </c>
    </row>
    <row r="179" spans="1:6" x14ac:dyDescent="0.25">
      <c r="C179" s="14"/>
      <c r="E179" s="41" t="s">
        <v>28</v>
      </c>
      <c r="F179" s="43">
        <f t="shared" si="0"/>
        <v>0</v>
      </c>
    </row>
    <row r="180" spans="1:6" x14ac:dyDescent="0.25">
      <c r="C180" s="14"/>
      <c r="E180" s="41" t="s">
        <v>29</v>
      </c>
      <c r="F180" s="43">
        <f t="shared" si="0"/>
        <v>0</v>
      </c>
    </row>
    <row r="181" spans="1:6" x14ac:dyDescent="0.25">
      <c r="C181" s="14"/>
      <c r="E181" s="41" t="s">
        <v>30</v>
      </c>
      <c r="F181" s="43">
        <f t="shared" si="0"/>
        <v>0</v>
      </c>
    </row>
    <row r="182" spans="1:6" x14ac:dyDescent="0.25">
      <c r="C182" s="14"/>
      <c r="E182" s="41" t="s">
        <v>30</v>
      </c>
      <c r="F182" s="43">
        <f t="shared" si="0"/>
        <v>0</v>
      </c>
    </row>
    <row r="183" spans="1:6" x14ac:dyDescent="0.25">
      <c r="C183" s="14"/>
      <c r="E183" s="41" t="s">
        <v>31</v>
      </c>
      <c r="F183" s="43">
        <f t="shared" si="0"/>
        <v>0</v>
      </c>
    </row>
    <row r="184" spans="1:6" x14ac:dyDescent="0.25">
      <c r="C184" s="14"/>
      <c r="E184" s="41" t="s">
        <v>32</v>
      </c>
      <c r="F184" s="43">
        <f t="shared" si="0"/>
        <v>0</v>
      </c>
    </row>
    <row r="185" spans="1:6" x14ac:dyDescent="0.25">
      <c r="C185" s="213"/>
      <c r="E185" s="41" t="s">
        <v>33</v>
      </c>
      <c r="F185" s="43">
        <f t="shared" si="0"/>
        <v>0</v>
      </c>
    </row>
    <row r="187" spans="1:6" x14ac:dyDescent="0.25">
      <c r="A187" s="14"/>
      <c r="B187" s="14"/>
      <c r="C187" s="14"/>
      <c r="D187" s="14"/>
    </row>
    <row r="188" spans="1:6" x14ac:dyDescent="0.25">
      <c r="A188" s="14"/>
      <c r="B188" s="14"/>
      <c r="C188" s="14"/>
      <c r="D188" s="14"/>
    </row>
    <row r="189" spans="1:6" x14ac:dyDescent="0.25">
      <c r="A189" s="14"/>
      <c r="B189" s="14"/>
      <c r="C189" s="14"/>
      <c r="D189" s="14"/>
    </row>
    <row r="190" spans="1:6" x14ac:dyDescent="0.25">
      <c r="A190" s="14"/>
      <c r="B190" s="14"/>
      <c r="C190" s="14"/>
      <c r="D190" s="14"/>
    </row>
    <row r="191" spans="1:6" x14ac:dyDescent="0.25">
      <c r="A191" s="14"/>
      <c r="B191" s="14"/>
      <c r="C191" s="14"/>
      <c r="D191" s="14"/>
    </row>
    <row r="192" spans="1:6" x14ac:dyDescent="0.25">
      <c r="A192" s="14"/>
      <c r="B192" s="14"/>
      <c r="C192" s="14"/>
      <c r="D192" s="14"/>
    </row>
    <row r="193" spans="1:4" x14ac:dyDescent="0.25">
      <c r="A193" s="14"/>
      <c r="B193" s="14"/>
      <c r="C193" s="14"/>
      <c r="D193" s="14"/>
    </row>
    <row r="194" spans="1:4" x14ac:dyDescent="0.25">
      <c r="A194" s="14"/>
      <c r="B194" s="14"/>
      <c r="C194" s="14"/>
      <c r="D194" s="14"/>
    </row>
    <row r="195" spans="1:4" x14ac:dyDescent="0.25">
      <c r="A195" s="14"/>
      <c r="B195" s="14"/>
      <c r="C195" s="14"/>
      <c r="D195" s="14"/>
    </row>
    <row r="196" spans="1:4" x14ac:dyDescent="0.25">
      <c r="A196" s="14"/>
      <c r="B196" s="14"/>
      <c r="C196" s="14"/>
      <c r="D196" s="14"/>
    </row>
    <row r="197" spans="1:4" x14ac:dyDescent="0.25">
      <c r="A197" s="14"/>
      <c r="B197" s="14"/>
      <c r="C197" s="14"/>
      <c r="D197" s="14"/>
    </row>
    <row r="198" spans="1:4" x14ac:dyDescent="0.25">
      <c r="A198" s="14"/>
      <c r="B198" s="14"/>
      <c r="C198" s="14"/>
      <c r="D198" s="14"/>
    </row>
    <row r="199" spans="1:4" x14ac:dyDescent="0.25">
      <c r="A199" s="14"/>
      <c r="B199" s="14"/>
      <c r="C199" s="14"/>
      <c r="D199" s="14"/>
    </row>
    <row r="200" spans="1:4" x14ac:dyDescent="0.25">
      <c r="A200" s="14"/>
      <c r="B200" s="14"/>
      <c r="C200" s="14"/>
      <c r="D200" s="14"/>
    </row>
    <row r="201" spans="1:4" x14ac:dyDescent="0.25">
      <c r="A201" s="14"/>
      <c r="B201" s="14"/>
      <c r="C201" s="14"/>
      <c r="D201" s="14"/>
    </row>
    <row r="202" spans="1:4" x14ac:dyDescent="0.25">
      <c r="A202" s="14"/>
      <c r="B202" s="14"/>
      <c r="C202" s="14"/>
      <c r="D202" s="14"/>
    </row>
    <row r="203" spans="1:4" x14ac:dyDescent="0.25">
      <c r="A203" s="14"/>
      <c r="B203" s="14"/>
      <c r="C203" s="14"/>
      <c r="D203" s="14"/>
    </row>
    <row r="204" spans="1:4" x14ac:dyDescent="0.25">
      <c r="A204" s="14"/>
      <c r="B204" s="14"/>
      <c r="C204" s="14"/>
      <c r="D204" s="14"/>
    </row>
    <row r="205" spans="1:4" x14ac:dyDescent="0.25">
      <c r="A205" s="14"/>
      <c r="B205" s="14"/>
      <c r="C205" s="14"/>
      <c r="D205" s="14"/>
    </row>
    <row r="206" spans="1:4" x14ac:dyDescent="0.25">
      <c r="A206" s="14"/>
      <c r="B206" s="14"/>
      <c r="C206" s="14"/>
      <c r="D206" s="14"/>
    </row>
    <row r="207" spans="1:4" x14ac:dyDescent="0.25">
      <c r="A207" s="14"/>
      <c r="B207" s="14"/>
      <c r="C207" s="14"/>
      <c r="D207" s="14"/>
    </row>
    <row r="208" spans="1:4" x14ac:dyDescent="0.25">
      <c r="A208" s="14"/>
      <c r="B208" s="14"/>
      <c r="C208" s="14"/>
      <c r="D208" s="14"/>
    </row>
    <row r="209" spans="1:4" x14ac:dyDescent="0.25">
      <c r="A209" s="14"/>
      <c r="B209" s="14"/>
      <c r="C209" s="14"/>
      <c r="D209" s="14"/>
    </row>
    <row r="210" spans="1:4" x14ac:dyDescent="0.25">
      <c r="A210" s="14"/>
      <c r="B210" s="14"/>
      <c r="C210" s="14"/>
      <c r="D210" s="14"/>
    </row>
    <row r="211" spans="1:4" x14ac:dyDescent="0.25">
      <c r="A211" s="14"/>
      <c r="B211" s="14"/>
      <c r="C211" s="14"/>
      <c r="D211" s="14"/>
    </row>
    <row r="212" spans="1:4" x14ac:dyDescent="0.25">
      <c r="A212" s="14"/>
      <c r="B212" s="14"/>
      <c r="C212" s="14"/>
      <c r="D212" s="14"/>
    </row>
    <row r="213" spans="1:4" x14ac:dyDescent="0.25">
      <c r="A213" s="14"/>
      <c r="B213" s="14"/>
      <c r="C213" s="14"/>
      <c r="D213" s="14"/>
    </row>
    <row r="214" spans="1:4" x14ac:dyDescent="0.25">
      <c r="A214" s="14"/>
      <c r="B214" s="14"/>
      <c r="C214" s="14"/>
      <c r="D214" s="14"/>
    </row>
    <row r="215" spans="1:4" x14ac:dyDescent="0.25">
      <c r="A215" s="14"/>
      <c r="B215" s="14"/>
      <c r="C215" s="14"/>
      <c r="D215" s="14"/>
    </row>
    <row r="216" spans="1:4" x14ac:dyDescent="0.25">
      <c r="A216" s="213"/>
      <c r="B216" s="14"/>
      <c r="C216" s="14"/>
      <c r="D216" s="14"/>
    </row>
    <row r="217" spans="1:4" x14ac:dyDescent="0.25">
      <c r="A217" s="14"/>
      <c r="B217" s="14"/>
      <c r="C217" s="14"/>
      <c r="D217" s="14"/>
    </row>
    <row r="218" spans="1:4" x14ac:dyDescent="0.25">
      <c r="A218" s="14"/>
      <c r="B218" s="14"/>
      <c r="C218" s="14"/>
      <c r="D218" s="14"/>
    </row>
    <row r="219" spans="1:4" x14ac:dyDescent="0.25">
      <c r="A219" s="14"/>
      <c r="B219" s="14"/>
      <c r="C219" s="14"/>
      <c r="D219" s="14"/>
    </row>
    <row r="220" spans="1:4" x14ac:dyDescent="0.25">
      <c r="A220" s="14"/>
      <c r="B220" s="14"/>
      <c r="C220" s="14"/>
      <c r="D220" s="14"/>
    </row>
    <row r="221" spans="1:4" x14ac:dyDescent="0.25">
      <c r="A221" s="14"/>
      <c r="B221" s="14"/>
      <c r="C221" s="14"/>
      <c r="D221" s="14"/>
    </row>
  </sheetData>
  <mergeCells count="1">
    <mergeCell ref="B64:C64"/>
  </mergeCells>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How To Use</vt:lpstr>
      <vt:lpstr>Register Configuration</vt:lpstr>
      <vt:lpstr>RealView .inc file</vt:lpstr>
      <vt:lpstr>'RealView .inc file'!Codex_LPDDR1_200MHz.inc</vt:lpstr>
      <vt:lpstr>'Register Configuration'!Print_Area</vt:lpstr>
    </vt:vector>
  </TitlesOfParts>
  <Company>Freescale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ra7694</dc:creator>
  <cp:lastModifiedBy>Michael J Kjar</cp:lastModifiedBy>
  <cp:lastPrinted>2009-11-19T19:37:47Z</cp:lastPrinted>
  <dcterms:created xsi:type="dcterms:W3CDTF">2008-07-23T13:35:02Z</dcterms:created>
  <dcterms:modified xsi:type="dcterms:W3CDTF">2021-05-04T20:41:53Z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