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nxp1-my.sharepoint.com/personal/jan_spurek_nxp_com/Documents/Tasks/Tasks 2022/[mScale_RPA] Q4 updates/new/8md/"/>
    </mc:Choice>
  </mc:AlternateContent>
  <xr:revisionPtr revIDLastSave="1" documentId="13_ncr:1_{253E305C-3B68-40CF-B7BD-98DD9B57CAB0}" xr6:coauthVersionLast="46" xr6:coauthVersionMax="46" xr10:uidLastSave="{1829FD55-ABB7-4096-9738-480A7A0601D3}"/>
  <bookViews>
    <workbookView xWindow="-120" yWindow="-120" windowWidth="29040" windowHeight="15840" activeTab="2" xr2:uid="{00000000-000D-0000-FFFF-FFFF00000000}"/>
  </bookViews>
  <sheets>
    <sheet name="How To Use" sheetId="4" r:id="rId1"/>
    <sheet name="Revision History" sheetId="7" r:id="rId2"/>
    <sheet name="Register Configuration" sheetId="1" r:id="rId3"/>
    <sheet name="DDR stress test file" sheetId="10" r:id="rId4"/>
  </sheets>
  <definedNames>
    <definedName name="_xlnm._FilterDatabase" localSheetId="2" hidden="1">'Register Configuration'!#REF!</definedName>
    <definedName name="BusWidth">'Register Configuration'!$AC$4:$AC$5</definedName>
    <definedName name="DDRTypes">'Register Configuration'!$AA$4:$AA$6</definedName>
    <definedName name="_xlnm.Print_Area" localSheetId="2">'Register Configuration'!$B$43:$F$292</definedName>
    <definedName name="RowBankInterleavingOption">'Register Configuration'!$AA$9:$AA$10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0" l="1"/>
  <c r="E23" i="10"/>
  <c r="D23" i="10"/>
  <c r="B23" i="10"/>
  <c r="E22" i="10"/>
  <c r="B22" i="10"/>
  <c r="E21" i="10"/>
  <c r="B21" i="10"/>
  <c r="E20" i="10"/>
  <c r="B20" i="10"/>
  <c r="E19" i="10"/>
  <c r="B19" i="10"/>
  <c r="C175" i="1" l="1"/>
  <c r="D139" i="10" l="1"/>
  <c r="D42" i="10"/>
  <c r="D145" i="10" s="1"/>
  <c r="D59" i="1" l="1"/>
  <c r="D43" i="1"/>
  <c r="D170" i="10" l="1"/>
  <c r="C301" i="1"/>
  <c r="C300" i="1"/>
  <c r="C299" i="1"/>
  <c r="D217" i="1" l="1"/>
  <c r="D174" i="1"/>
  <c r="D175" i="1" s="1"/>
  <c r="C162" i="1"/>
  <c r="C149" i="1"/>
  <c r="C145" i="1"/>
  <c r="D134" i="1"/>
  <c r="D41" i="1"/>
  <c r="C165" i="1" l="1"/>
  <c r="C24" i="1"/>
  <c r="D188" i="10"/>
  <c r="D187" i="10"/>
  <c r="D186" i="10"/>
  <c r="D71" i="1"/>
  <c r="C143" i="1" l="1"/>
  <c r="D199" i="10"/>
  <c r="D198" i="10"/>
  <c r="D194" i="10"/>
  <c r="D195" i="10"/>
  <c r="D196" i="10"/>
  <c r="D193" i="10"/>
  <c r="D191" i="10"/>
  <c r="D190" i="10"/>
  <c r="D136" i="10" l="1"/>
  <c r="C144" i="1" l="1"/>
  <c r="D222" i="1"/>
  <c r="D221" i="1"/>
  <c r="D220" i="1"/>
  <c r="C154" i="1" l="1"/>
  <c r="D154" i="1" l="1"/>
  <c r="E134" i="1" l="1"/>
  <c r="E243" i="1" l="1"/>
  <c r="E242" i="1"/>
  <c r="E240" i="1"/>
  <c r="E239" i="1"/>
  <c r="E238" i="1"/>
  <c r="E216" i="1" l="1"/>
  <c r="E234" i="1" l="1"/>
  <c r="E233" i="1"/>
  <c r="E232" i="1"/>
  <c r="E231" i="1"/>
  <c r="E230" i="1"/>
  <c r="E229" i="1"/>
  <c r="E228" i="1"/>
  <c r="E227" i="1"/>
  <c r="E226" i="1"/>
  <c r="E225" i="1"/>
  <c r="E224" i="1"/>
  <c r="E223" i="1"/>
  <c r="E222" i="1"/>
  <c r="E221" i="1"/>
  <c r="E220" i="1"/>
  <c r="E219" i="1"/>
  <c r="E218" i="1"/>
  <c r="D131" i="1"/>
  <c r="C124" i="1"/>
  <c r="C22" i="1"/>
  <c r="C128" i="1" l="1"/>
  <c r="C296" i="1"/>
  <c r="D183" i="10" s="1"/>
  <c r="D53" i="1"/>
  <c r="D58" i="1"/>
  <c r="H111" i="1" l="1"/>
  <c r="B101" i="10" s="1"/>
  <c r="E113" i="1"/>
  <c r="E112" i="1"/>
  <c r="E111" i="1"/>
  <c r="H107" i="1"/>
  <c r="B99" i="10" s="1"/>
  <c r="H102" i="1"/>
  <c r="B98" i="10" s="1"/>
  <c r="E109" i="1"/>
  <c r="E108" i="1"/>
  <c r="E107" i="1"/>
  <c r="E105" i="1"/>
  <c r="E104" i="1"/>
  <c r="E103" i="1"/>
  <c r="E102" i="1"/>
  <c r="H97" i="1"/>
  <c r="B97" i="10" s="1"/>
  <c r="E100" i="1"/>
  <c r="E99" i="1"/>
  <c r="E98" i="1"/>
  <c r="E97" i="1"/>
  <c r="H91" i="1"/>
  <c r="H73" i="1"/>
  <c r="B92" i="10" s="1"/>
  <c r="H69" i="1"/>
  <c r="B91" i="10" s="1"/>
  <c r="E76" i="1"/>
  <c r="E75" i="1"/>
  <c r="E74" i="1"/>
  <c r="E73" i="1"/>
  <c r="H264" i="1"/>
  <c r="B82" i="10" s="1"/>
  <c r="E269" i="1"/>
  <c r="E268" i="1"/>
  <c r="E267" i="1"/>
  <c r="E266" i="1"/>
  <c r="E264" i="1"/>
  <c r="H258" i="1"/>
  <c r="E270" i="1"/>
  <c r="E265" i="1"/>
  <c r="H272" i="1"/>
  <c r="B81" i="10" s="1"/>
  <c r="I97" i="1" l="1"/>
  <c r="D97" i="10" s="1"/>
  <c r="I107" i="1"/>
  <c r="D99" i="10" s="1"/>
  <c r="I102" i="1"/>
  <c r="D98" i="10" s="1"/>
  <c r="I73" i="1"/>
  <c r="D92" i="10" s="1"/>
  <c r="I264" i="1"/>
  <c r="D82" i="10" s="1"/>
  <c r="H185" i="1" l="1"/>
  <c r="H172" i="1"/>
  <c r="E174" i="1"/>
  <c r="E173" i="1"/>
  <c r="E172" i="1"/>
  <c r="H134" i="1"/>
  <c r="H138" i="1"/>
  <c r="H131" i="1"/>
  <c r="E135" i="1"/>
  <c r="I134" i="1" s="1"/>
  <c r="D65" i="10" l="1"/>
  <c r="H245" i="1"/>
  <c r="H238" i="1"/>
  <c r="E246" i="1"/>
  <c r="E63" i="1"/>
  <c r="E62" i="1"/>
  <c r="E61" i="1"/>
  <c r="E60" i="1"/>
  <c r="E59" i="1"/>
  <c r="E58" i="1"/>
  <c r="E57" i="1"/>
  <c r="E56" i="1"/>
  <c r="H55" i="1"/>
  <c r="B57" i="10" s="1"/>
  <c r="E55" i="1"/>
  <c r="I55" i="1" l="1"/>
  <c r="D57" i="10" s="1"/>
  <c r="D91" i="1"/>
  <c r="C25" i="1" l="1"/>
  <c r="D67" i="1" s="1"/>
  <c r="C316" i="1" l="1"/>
  <c r="D153" i="10" s="1"/>
  <c r="D78" i="1" l="1"/>
  <c r="D79" i="1"/>
  <c r="D80" i="1"/>
  <c r="A1" i="10" l="1"/>
  <c r="H193" i="1" l="1"/>
  <c r="H188" i="1"/>
  <c r="E191" i="1"/>
  <c r="E189" i="1"/>
  <c r="E42" i="10" l="1"/>
  <c r="E145" i="10" s="1"/>
  <c r="E204" i="1" l="1"/>
  <c r="E203" i="1"/>
  <c r="E202" i="1"/>
  <c r="E201" i="1"/>
  <c r="E206" i="1"/>
  <c r="E207" i="1"/>
  <c r="E208" i="1"/>
  <c r="E205" i="1"/>
  <c r="E209" i="1"/>
  <c r="H201" i="1"/>
  <c r="I201" i="1" l="1"/>
  <c r="D112" i="10" s="1"/>
  <c r="E282" i="1" l="1"/>
  <c r="E291" i="1"/>
  <c r="I291" i="1" s="1"/>
  <c r="D88" i="10" s="1"/>
  <c r="H291" i="1"/>
  <c r="B88" i="10" s="1"/>
  <c r="E275" i="1" l="1"/>
  <c r="D253" i="1" l="1"/>
  <c r="D272" i="1"/>
  <c r="C153" i="1" l="1"/>
  <c r="D81" i="1"/>
  <c r="E81" i="1" s="1"/>
  <c r="E80" i="1"/>
  <c r="E79" i="1"/>
  <c r="H78" i="1"/>
  <c r="B93" i="10" s="1"/>
  <c r="E78" i="1"/>
  <c r="E91" i="1"/>
  <c r="D241" i="1" l="1"/>
  <c r="E241" i="1" s="1"/>
  <c r="D114" i="1"/>
  <c r="E114" i="1" s="1"/>
  <c r="I111" i="1" s="1"/>
  <c r="D101" i="10" s="1"/>
  <c r="D273" i="1"/>
  <c r="D256" i="1"/>
  <c r="I78" i="1"/>
  <c r="D93" i="10" s="1"/>
  <c r="I238" i="1" l="1"/>
  <c r="C297" i="1"/>
  <c r="D184" i="10" s="1"/>
  <c r="D84" i="1"/>
  <c r="D83" i="1"/>
  <c r="D69" i="1" l="1"/>
  <c r="E121" i="1" l="1"/>
  <c r="E120" i="1"/>
  <c r="E119" i="1"/>
  <c r="E118" i="1"/>
  <c r="H118" i="1"/>
  <c r="I118" i="1" l="1"/>
  <c r="E278" i="1" l="1"/>
  <c r="E277" i="1"/>
  <c r="E276" i="1"/>
  <c r="H275" i="1"/>
  <c r="B83" i="10" s="1"/>
  <c r="E273" i="1"/>
  <c r="I275" i="1" l="1"/>
  <c r="D83" i="10" l="1"/>
  <c r="E180" i="1"/>
  <c r="D44" i="1"/>
  <c r="D50" i="1"/>
  <c r="E50" i="1" s="1"/>
  <c r="D49" i="1"/>
  <c r="E49" i="1" s="1"/>
  <c r="E42" i="1"/>
  <c r="E41" i="1"/>
  <c r="D155" i="1" l="1"/>
  <c r="D63" i="10"/>
  <c r="D163" i="1" l="1"/>
  <c r="D89" i="1" l="1"/>
  <c r="D46" i="1"/>
  <c r="D93" i="1" l="1"/>
  <c r="D92" i="1"/>
  <c r="D153" i="1" l="1"/>
  <c r="H41" i="1" l="1"/>
  <c r="B56" i="10" s="1"/>
  <c r="D70" i="1"/>
  <c r="C29" i="1"/>
  <c r="D87" i="1"/>
  <c r="E93" i="1" l="1"/>
  <c r="D86" i="1"/>
  <c r="E86" i="1" s="1"/>
  <c r="D95" i="1"/>
  <c r="E95" i="1" s="1"/>
  <c r="E69" i="1"/>
  <c r="D88" i="1"/>
  <c r="E88" i="1" s="1"/>
  <c r="D94" i="1"/>
  <c r="E94" i="1" s="1"/>
  <c r="E153" i="1"/>
  <c r="E83" i="1"/>
  <c r="B77" i="10"/>
  <c r="E84" i="1"/>
  <c r="H83" i="1"/>
  <c r="B94" i="10" s="1"/>
  <c r="B66" i="10"/>
  <c r="H196" i="1"/>
  <c r="B102" i="10" s="1"/>
  <c r="B96" i="10"/>
  <c r="H86" i="1"/>
  <c r="B95" i="10" s="1"/>
  <c r="H66" i="1"/>
  <c r="B90" i="10" s="1"/>
  <c r="H289" i="1"/>
  <c r="B86" i="10" s="1"/>
  <c r="H286" i="1"/>
  <c r="B85" i="10" s="1"/>
  <c r="H280" i="1"/>
  <c r="B84" i="10" s="1"/>
  <c r="B80" i="10"/>
  <c r="H251" i="1"/>
  <c r="B79" i="10" s="1"/>
  <c r="H177" i="1"/>
  <c r="B76" i="10" s="1"/>
  <c r="H167" i="1"/>
  <c r="B73" i="10" s="1"/>
  <c r="H162" i="1"/>
  <c r="B72" i="10" s="1"/>
  <c r="H158" i="1"/>
  <c r="B71" i="10" s="1"/>
  <c r="H153" i="1"/>
  <c r="B70" i="10" s="1"/>
  <c r="H147" i="1"/>
  <c r="B69" i="10" s="1"/>
  <c r="H142" i="1"/>
  <c r="B68" i="10" s="1"/>
  <c r="E138" i="1"/>
  <c r="E140" i="1"/>
  <c r="E139" i="1"/>
  <c r="B63" i="10"/>
  <c r="H216" i="1"/>
  <c r="B62" i="10" s="1"/>
  <c r="E127" i="1"/>
  <c r="H127" i="1"/>
  <c r="B60" i="10" s="1"/>
  <c r="B61" i="10"/>
  <c r="E132" i="1"/>
  <c r="H123" i="1"/>
  <c r="E53" i="1"/>
  <c r="D52" i="1"/>
  <c r="E52" i="1" s="1"/>
  <c r="D51" i="1"/>
  <c r="E51" i="1" s="1"/>
  <c r="E48" i="1"/>
  <c r="E47" i="1"/>
  <c r="E46" i="1"/>
  <c r="E45" i="1"/>
  <c r="E44" i="1"/>
  <c r="E43" i="1"/>
  <c r="C32" i="1"/>
  <c r="E196" i="1"/>
  <c r="E92" i="1"/>
  <c r="E67" i="1"/>
  <c r="E281" i="1"/>
  <c r="E255" i="1"/>
  <c r="E179" i="1"/>
  <c r="E198" i="1"/>
  <c r="E70" i="1"/>
  <c r="E284" i="1"/>
  <c r="E258" i="1"/>
  <c r="E66" i="1"/>
  <c r="E280" i="1"/>
  <c r="E254" i="1"/>
  <c r="E178" i="1"/>
  <c r="E87" i="1"/>
  <c r="E261" i="1"/>
  <c r="E289" i="1"/>
  <c r="I289" i="1" s="1"/>
  <c r="D86" i="10" s="1"/>
  <c r="E251" i="1"/>
  <c r="E287" i="1"/>
  <c r="E256" i="1"/>
  <c r="E262" i="1"/>
  <c r="E177" i="1"/>
  <c r="E252" i="1"/>
  <c r="E286" i="1"/>
  <c r="E260" i="1"/>
  <c r="E199" i="1"/>
  <c r="E71" i="1"/>
  <c r="E259" i="1"/>
  <c r="E197" i="1"/>
  <c r="E283" i="1"/>
  <c r="E89" i="1"/>
  <c r="E163" i="1"/>
  <c r="E154" i="1"/>
  <c r="E217" i="1" l="1"/>
  <c r="C295" i="1" s="1"/>
  <c r="D182" i="10" s="1"/>
  <c r="C156" i="1"/>
  <c r="D156" i="1" s="1"/>
  <c r="D186" i="1"/>
  <c r="C147" i="1"/>
  <c r="D147" i="1" s="1"/>
  <c r="D129" i="1"/>
  <c r="D162" i="1"/>
  <c r="E162" i="1" s="1"/>
  <c r="D149" i="1"/>
  <c r="E149" i="1" s="1"/>
  <c r="D145" i="1"/>
  <c r="C164" i="1"/>
  <c r="D164" i="1" s="1"/>
  <c r="E164" i="1" s="1"/>
  <c r="D165" i="1"/>
  <c r="D143" i="1"/>
  <c r="D128" i="1"/>
  <c r="E175" i="1"/>
  <c r="I172" i="1" s="1"/>
  <c r="D74" i="10" s="1"/>
  <c r="D142" i="1"/>
  <c r="E142" i="1" s="1"/>
  <c r="I216" i="1"/>
  <c r="D62" i="10" s="1"/>
  <c r="E186" i="1"/>
  <c r="C181" i="1"/>
  <c r="D181" i="1" s="1"/>
  <c r="E181" i="1" s="1"/>
  <c r="C182" i="1"/>
  <c r="D182" i="1" s="1"/>
  <c r="E182" i="1" s="1"/>
  <c r="C170" i="1"/>
  <c r="D170" i="1" s="1"/>
  <c r="E170" i="1" s="1"/>
  <c r="D160" i="1"/>
  <c r="E160" i="1" s="1"/>
  <c r="E156" i="1"/>
  <c r="C169" i="1"/>
  <c r="D169" i="1" s="1"/>
  <c r="E169" i="1" s="1"/>
  <c r="C168" i="1"/>
  <c r="D168" i="1" s="1"/>
  <c r="E168" i="1" s="1"/>
  <c r="C167" i="1"/>
  <c r="D167" i="1" s="1"/>
  <c r="E167" i="1" s="1"/>
  <c r="C148" i="1"/>
  <c r="D148" i="1" s="1"/>
  <c r="E129" i="1"/>
  <c r="C245" i="1"/>
  <c r="D245" i="1" s="1"/>
  <c r="E245" i="1" s="1"/>
  <c r="I245" i="1" s="1"/>
  <c r="D64" i="10" s="1"/>
  <c r="D158" i="1"/>
  <c r="E158" i="1" s="1"/>
  <c r="E155" i="1"/>
  <c r="D193" i="1"/>
  <c r="E193" i="1" s="1"/>
  <c r="I193" i="1" s="1"/>
  <c r="D185" i="1"/>
  <c r="E185" i="1" s="1"/>
  <c r="D159" i="1"/>
  <c r="E159" i="1" s="1"/>
  <c r="D190" i="1"/>
  <c r="E190" i="1" s="1"/>
  <c r="D188" i="1"/>
  <c r="E188" i="1" s="1"/>
  <c r="I280" i="1"/>
  <c r="D84" i="10" s="1"/>
  <c r="E128" i="1"/>
  <c r="D123" i="1"/>
  <c r="E123" i="1" s="1"/>
  <c r="E143" i="1"/>
  <c r="D144" i="1"/>
  <c r="E144" i="1" s="1"/>
  <c r="I41" i="1"/>
  <c r="D124" i="1"/>
  <c r="E124" i="1" s="1"/>
  <c r="I83" i="1"/>
  <c r="D94" i="10" s="1"/>
  <c r="I196" i="1"/>
  <c r="D102" i="10" s="1"/>
  <c r="I258" i="1"/>
  <c r="D80" i="10" s="1"/>
  <c r="I286" i="1"/>
  <c r="D85" i="10" s="1"/>
  <c r="I138" i="1"/>
  <c r="D66" i="10" s="1"/>
  <c r="I86" i="1"/>
  <c r="D95" i="10" s="1"/>
  <c r="I66" i="1"/>
  <c r="I69" i="1"/>
  <c r="D91" i="10" s="1"/>
  <c r="I91" i="1"/>
  <c r="E148" i="1" l="1"/>
  <c r="I177" i="1"/>
  <c r="E147" i="1"/>
  <c r="I188" i="1"/>
  <c r="D56" i="10"/>
  <c r="D90" i="10"/>
  <c r="D96" i="10"/>
  <c r="I185" i="1"/>
  <c r="I153" i="1"/>
  <c r="E165" i="1"/>
  <c r="E145" i="1"/>
  <c r="I167" i="1"/>
  <c r="I158" i="1"/>
  <c r="I127" i="1"/>
  <c r="I123" i="1"/>
  <c r="D58" i="10" s="1"/>
  <c r="I147" i="1" l="1"/>
  <c r="D69" i="10" s="1"/>
  <c r="D70" i="10"/>
  <c r="D77" i="10"/>
  <c r="D76" i="10"/>
  <c r="D71" i="10"/>
  <c r="D60" i="10"/>
  <c r="D73" i="10"/>
  <c r="E272" i="1"/>
  <c r="I272" i="1" s="1"/>
  <c r="E253" i="1"/>
  <c r="I251" i="1" s="1"/>
  <c r="I162" i="1"/>
  <c r="I142" i="1"/>
  <c r="D81" i="10" l="1"/>
  <c r="D79" i="10"/>
  <c r="D72" i="10"/>
  <c r="D68" i="10"/>
  <c r="E131" i="1"/>
  <c r="I131" i="1" s="1"/>
  <c r="D61" i="10" s="1"/>
</calcChain>
</file>

<file path=xl/sharedStrings.xml><?xml version="1.0" encoding="utf-8"?>
<sst xmlns="http://schemas.openxmlformats.org/spreadsheetml/2006/main" count="1115" uniqueCount="770">
  <si>
    <t>-</t>
  </si>
  <si>
    <t>Notes</t>
  </si>
  <si>
    <t>value from DDR data sheet (ns)</t>
  </si>
  <si>
    <t>Register name</t>
  </si>
  <si>
    <t>Register value (HEX)</t>
  </si>
  <si>
    <t>N/A</t>
  </si>
  <si>
    <t>bit setting within register</t>
  </si>
  <si>
    <t>control bit setting (decimal)</t>
  </si>
  <si>
    <t>Memory type:</t>
  </si>
  <si>
    <t>Memory part number:</t>
  </si>
  <si>
    <t>Device Information</t>
  </si>
  <si>
    <t>Clock Cycle Time (ns)</t>
  </si>
  <si>
    <t>Instructions</t>
  </si>
  <si>
    <t>LPDDR2</t>
  </si>
  <si>
    <t>Manufacturer:</t>
  </si>
  <si>
    <t xml:space="preserve">Shaded cells may require updating per the DRAM memory data sheet parameters. Certain registers should not need to be modified by the user. If a register is not provided then it is assumed this parameter is not to be changed per the provided initialization script.Certain registers are provided though they may be noted as recommended to not change. </t>
  </si>
  <si>
    <t>Legend</t>
  </si>
  <si>
    <t>On other tabs, this color indicates the cells that are affected by changes on the Register Configuration tab.</t>
  </si>
  <si>
    <t>On Register Configuration Tab, this color indicates the bitfields that would commonly require updating.</t>
  </si>
  <si>
    <t>Clock Cycle or Binary Setting</t>
  </si>
  <si>
    <t>Revision History</t>
  </si>
  <si>
    <t>On Register Configuration Tab, this color indicates the bitfields that may be updated, but should typically not require it.</t>
  </si>
  <si>
    <t>Automatically Updated Setting</t>
  </si>
  <si>
    <t>On Register Configuration Tab, this color indicates the bitfields that are updated automatically from setting provided in the "Device Information" table or other cells, and should not be changed manually</t>
  </si>
  <si>
    <t>2. Important, these fields need to be filled out correctly as these values are used later in this tool for register settings.</t>
  </si>
  <si>
    <r>
      <t>Clock Cycle Freq (MHz)</t>
    </r>
    <r>
      <rPr>
        <vertAlign val="superscript"/>
        <sz val="10"/>
        <rFont val="Arial"/>
        <family val="2"/>
      </rPr>
      <t>3</t>
    </r>
  </si>
  <si>
    <r>
      <t>Number of ROW Addresses</t>
    </r>
    <r>
      <rPr>
        <vertAlign val="superscript"/>
        <sz val="10"/>
        <rFont val="Arial"/>
        <family val="2"/>
      </rPr>
      <t>2</t>
    </r>
  </si>
  <si>
    <r>
      <t>Number of COLUMN Addresses</t>
    </r>
    <r>
      <rPr>
        <vertAlign val="superscript"/>
        <sz val="10"/>
        <rFont val="Arial"/>
        <family val="2"/>
      </rPr>
      <t>2</t>
    </r>
  </si>
  <si>
    <r>
      <t>Number of BANKS</t>
    </r>
    <r>
      <rPr>
        <vertAlign val="superscript"/>
        <sz val="10"/>
        <rFont val="Arial"/>
        <family val="2"/>
      </rPr>
      <t>2</t>
    </r>
  </si>
  <si>
    <t>On Register Configuration Tab, an unshaded cell means that the value should remain as is and should not be modified. In these cases, the settings are provided for completeness.</t>
  </si>
  <si>
    <t>How to use the DRAM register programming aid outline</t>
  </si>
  <si>
    <t>Step 1. Obtain the desired DRAM data sheet from the DRAM vendor</t>
  </si>
  <si>
    <t xml:space="preserve">Step 2. Update the Device Information table to include the DRAM information and system usage </t>
  </si>
  <si>
    <t>Step 3. Go through the various shaded cells in the spread sheet to update with data from the DRAM sheet (take special note of the “Legend” table to ascertain the meaning of different shaded cells; in many cases, the cells may not need to be updated).</t>
  </si>
  <si>
    <t>Total DRAM density (Gb)</t>
  </si>
  <si>
    <t>LPDDR3</t>
  </si>
  <si>
    <t>DDRC_MSTR</t>
  </si>
  <si>
    <t>Description: Set to 1 when the uMCTL2 and DRAM has to be put in DLL-off mode for low frequency operation.
Set to 0 to put uMCTL2 and DRAM in DLL-on mode for normal frequency operation.
Value After Reset: 0x0</t>
  </si>
  <si>
    <t>DDRC_RFSHTMG</t>
  </si>
  <si>
    <t>Description: Wait period before driving the OCD complete command to SDRAM.
Unit: Counts of a global timer that pulses every 32 clock cycles.
There is no known specific requirement for this; it may be set to zero.
Value After Reset: 0x0</t>
  </si>
  <si>
    <t>DDRC_INIT1</t>
  </si>
  <si>
    <t>DDRC_INIT0</t>
  </si>
  <si>
    <t>DDRC_INIT4</t>
  </si>
  <si>
    <t>DDRC_INIT3</t>
  </si>
  <si>
    <t>DDRC_RANKCTL</t>
  </si>
  <si>
    <t>DDRC_DRAMTMG0</t>
  </si>
  <si>
    <t>DDRC_DRAMTMG1</t>
  </si>
  <si>
    <t>DDRC_DRAMTMG2</t>
  </si>
  <si>
    <t>DDRC_DRAMTMG3</t>
  </si>
  <si>
    <t>DDRC_DRAMTMG4</t>
  </si>
  <si>
    <t>DDRC_DRAMTMG5</t>
  </si>
  <si>
    <t>DDRC_ZQCTL0</t>
  </si>
  <si>
    <t>DDRC_DFITMG0</t>
  </si>
  <si>
    <t>DDRC_DFITMG1</t>
  </si>
  <si>
    <t>DDRC_DFIUPD0</t>
  </si>
  <si>
    <t>DDRC_DFIUPD1</t>
  </si>
  <si>
    <t>DDRC_DFIUPD2</t>
  </si>
  <si>
    <t>DDRC_ADDRMAP0</t>
  </si>
  <si>
    <t>DDRC_ADDRMAP1</t>
  </si>
  <si>
    <t>DDRC_ADDRMAP5</t>
  </si>
  <si>
    <t>DDRC_ADDRMAP6</t>
  </si>
  <si>
    <t>DDRC_ODTMAP</t>
  </si>
  <si>
    <t>Description: Indicates which remote ODTs must be turned on during a write to rank 0.
Each rank has a remote ODT (in the SDRAM) which can be turned on by setting the appropriate bit here.
Rank 0 is controlled by the LSB; rank 1 is controlled by bit next to the LSB and so on.
For each rank, set its bit to 1 to enable its ODT.
Value After Reset: 0x1</t>
  </si>
  <si>
    <t>Description: Indicates which remote ODTs must be turned on during a read from rank 0.
Each rank has a remote ODT (in the SDRAM) which can be turned on by setting the appropriate bit here.
Rank 0 is controlled by the LSB; rank 1 is controlled by bit next to the LSB and so on.
For each rank, set its bit to 1 to enable its ODT.
Value After Reset: 0x1</t>
  </si>
  <si>
    <t>Description: Indicates which remote ODTs must be turned on during a read from rank 1.
Each rank has a remote ODT (in the SDRAM) which can be turned on by setting the appropriate bit here.
Rank 0 is controlled by the LSB; rank 1 is controlled by bit next to the LSB and so on.
For each rank, set its bit to 1 to enable its ODT.
Value After Reset: 0x2</t>
  </si>
  <si>
    <t>Description: Indicates which remote ODTs must be turned on during a write to rank 1.
Each rank has a remote ODT (in the SDRAM) which can be turned on by setting the appropriate bit here.
Rank 0 is controlled by the LSB; rank 1 is controlled by bit next to the LSB and so on.
For each rank, set its bit to 1 to enable its ODT.
Value After Reset: 0x2</t>
  </si>
  <si>
    <t>Description: Enables the support for acknowledging PHY-initiated updates:
■ 0 - Disabled
■ 1 - Enabled
Value After Reset: 0x1</t>
  </si>
  <si>
    <t>Description: This is the minimum amount of time between uMCTL2 initiated DFI update requests (which is executed whenever the uMCTL2 is idle).
Set this number higher to reduce the frequency of update requests, which can have a small impact on the latency of the first read request when the uMCTL2 is idle.
Unit: 1024 clocks
Value After Reset: 0x0</t>
  </si>
  <si>
    <t>Description: Specifies the maximum number of clock cycles that the dfi_ctrlupd_req signal can assert.
Lowest value to assign to this variable is 0x40.
Unit: Clocks
Value After Reset: 0x40</t>
  </si>
  <si>
    <t>Description: Specifies the minimum number of clock cycles that the dfi_ctrlupd_req signal must be asserted.
The uMCTL2 expects the PHY to respond within this time. If the PHY does not respond, the uMCTL2 de-asserts dfi_ctrlupd_req after dfi_t_ctrlup_min + 2 cycles.
Lowest value to assign to this variable is 0x3.
Unit: Clocks
Value After Reset: 0x3</t>
  </si>
  <si>
    <t>Description: Disable the automatic dfi_ctrlupd_req generation by the uMCTL2 following a self-refresh exit.
■ 1 - Disable the automatic dfi_ctrlupd_req generation by the uMCTL2 following a self-refresh exit. The core must issue the dfi_ctrlupd_req signal using register reg_ddrc_ctrlupd. .
■ 0 - uMCTL2 issues a dfi_ctrlupd_req after exiting self-refresh.
This register field is changeable on the fly.
Value After Reset: 0x0</t>
  </si>
  <si>
    <t>Description: Disable the automatic dfi_ctrlupd_req generation by the uMCTL2.
■ 1 - Disable the automatic dfi_ctrlupd_req generation by the uMCTL2. The core must issue the dfi_ctrlupd_req signal using register reg_ddrc_ctrlupd.
■ 0 - uMCTL2 issues dfi_ctrlupd_req periodically.
This register field is changeable on the fly.
Value After Reset: 0x0</t>
  </si>
  <si>
    <t>Description: Specifies the number of DFI clock cycles from the assertion of the dfi_dram_clk_disable signal on the DFI until the clock to the DRAM memory devices, at the PHY-DRAM boundary, maintains a low value.
If the DFI clock and the memory clock are not phase aligned, this timing parameter should be rounded up to the next integer value.
Value After Reset: 0x4</t>
  </si>
  <si>
    <t>Description: Specifies the number of DFI clock cycles from the de-assertion of the dfi_dram_clk_disable signal on the DFI until the first valid rising edge of the clock to the DRAM memory devices, at the PHY-DRAM boundary.
If the DFI clock and the memory clock are not phase aligned, this timing parameter should be rounded up to the next integer value.
Value After Reset: 0x4</t>
  </si>
  <si>
    <t>Description: Specifies the number of clock cycles between when dfi_wrdata_en is asserted to when the associated write data is driven on the dfi_wrdata signal.
This corresponds to the DFI timing parameter tphy_wrdata.
Refer to PHY specification for correct value.
Note, max supported value is 8.
Unit: Clocks
Value After Reset: 0x0</t>
  </si>
  <si>
    <t>Description: Disable Automatic ZQ Calibration
■ 1 - Disables uMCTL2 generation of ZQCS command. Register DBGCMD.zq_calib_short can be used instead to issue ZQ calibration request from APB module.
■ 0 - Internally generate ZQCS commands based on ZQCTL1.t_zq_short_interval_x1024.
Value After Reset: 0x0</t>
  </si>
  <si>
    <t>Description: Disable ZQCL command at Self-Refresh exit.
■ 1 - Disable issuing of ZQCL command at Self-Refresh exit.
■ 0 - Enable issuing of ZQCL command at Self-Refresh exit.
Value After Reset: 0x0</t>
  </si>
  <si>
    <t>Description: Shared ZQ resistor between ranks.
■ 1 - Denotes that ZQ resistor is shared between ranks. Means ZQinit/ZQCL/ZQCS commands are sent to one rank at a time with tZQinit/tZQCL/tZQCS timing met between commands so that commands to different ranks do not overlap.
■ 0 - ZQ resistor is not shared.
Value After Reset: 0x0</t>
  </si>
  <si>
    <t>DDRC timing parameter (DDR device timing parameter)</t>
  </si>
  <si>
    <t>DDRC Control Parameter</t>
  </si>
  <si>
    <t>Description: Selects the HIF address bit used as rank address bit 0.
Valid Range: 0 to 27, and 31
Internal Base: 6
The selected HIF address bit is determined by adding the internal base to the value of this field.
If set to 31, rank address bit 0 is set to 0.
Value After Reset: 0x0</t>
  </si>
  <si>
    <t>Description: Selects the HIF address bit used as bank address bit 2.
Valid Range: 0 to 29 and 31
Internal Base: 4
The selected HIF address bit is determined by adding the internal base to the value of this field.
If set to 31, bank address bit 2 is set to 0.
Value After Reset: 0x0</t>
  </si>
  <si>
    <t>Description: Selects the HIF address bits used as bank address bit 1.
Valid Range: 0 to 30
Internal Base: 3
The selected HIF address bit for each of the bank address bits is determined by adding the internal base to the value of this field.
Value After Reset: 0x0</t>
  </si>
  <si>
    <t>Description: Selects the HIF address bits used as bank address bit 0.
Valid Range: 0 to 30
Internal Base: 2
The selected HIF address bit for each of the bank address bits is determined by adding the internal base to the value of this field.
Value After Reset: 0x0</t>
  </si>
  <si>
    <t>Description: Selects the HIF address bit used as row address bit 11.
Valid Range: 0 to 11, and 15
Internal Base: 17
The selected HIF address bit is determined by adding the internal base to the value of this field.
If set to 15, row address bit 11 is set to 0.
Value After Reset: 0x0</t>
  </si>
  <si>
    <t>Description: Selects the HIF address bits used as row address bits 2 to 10.
Valid Range: 0 to 11
Internal Base: 8 (for row address bit 2), 9 (for row address bit 3), 10 (for row address bit 4) and so on, increasing to 16 (for row address bit 10)
The selected HIF address bit for each of the row address bits is determined by adding the internal base to the value of this field.
Value After Reset: 0x0</t>
  </si>
  <si>
    <t>Description: Selects the HIF address bits used as row address bit 1.
Valid Range: 0 to 11
Internal Base: 7
The selected HIF address bit for each of the row address bits is determined by adding the internal base to the value of this field.
Value After Reset: 0x0</t>
  </si>
  <si>
    <t>Description: Selects the HIF address bits used as row address bit 0.
Valid Range: 0 to 11
Internal Base: 6
The selected HIF address bit for each of the row address bits is determined by adding the internal base to the value of this field.
Value After Reset: 0x0</t>
  </si>
  <si>
    <t>Description: Selects the HIF address bit used as row address bit 15.
Valid Range: 0 to 11, and 15
Internal Base: 21
The selected HIF address bit is determined by adding the internal base to the value of this field.
If set to 15, row address bit 15 is set to 0.
Value After Reset: 0x0</t>
  </si>
  <si>
    <t>Description: Selects the HIF address bit used as row address bit 14.
Valid Range: 0 to 11, and 15
Internal Base: 20
The selected HIF address bit is determined by adding the internal base to the value of this field.
If set to 15, row address bit 14 is set to 0.
Value After Reset: 0x0</t>
  </si>
  <si>
    <t>Description: Selects the HIF address bit used as row address bit 13.
Valid Range: 0 to 11, and 15
Internal Base: 19
The selected HIF address bit is determined by adding the internal base to the value of this field.
If set to 15, row address bit 13 is set to 0.
Value After Reset: 0x0</t>
  </si>
  <si>
    <t>Description: Selects the HIF address bit used as row address bit 12.
Valid Range: 0 to 11, and 15
Internal Base: 18
The selected HIF address bit is determined by adding the internal base to the value of this field.
If set to 15, row address bit 12 is set to 0.
Value After Reset: 0x0</t>
  </si>
  <si>
    <t>Description: Only present for multi-rank configurations.
Background: Reads to the same rank can be performed back-to-back. Reads to different ranks require additional gap dictated by the register RANKCTL.diff_rank_rd_gap. This is to avoid possible data bus contention as well as to give PHY enough time to switch the delay when changing ranks. The uMCTL2 arbitrates for bus access on a cycle-by-cycle basis; therefore after a read is scheduled, there are few clock cycles (determined by the value on RANKCTL.diff_rank_rd_gap register) in which only reads from the same rank are eligible to be scheduled. This prevents reads from other ranks from having fair access to the data bus.
This parameter represents the maximum number of reads that can be scheduled consecutively to the same rank. After this number is reached, a delay equal to RANKCTL.diff_rank_rd_gap is inserted by the scheduler to allow all ranks a fair opportunity to be scheduled. Higher numbers increase bandwidth utilization, lower numbers increase fairness.
This feature can be DISABLED by setting this register to 0. When set to 0, the Controller stays on the same rank as long as commands are available for it.
Minimum programmable value is 0 (feature disabled) and maximum programmable value is 0xF.
FOR PERFORMANCE ONLY. Recommend leave as default.
Value After Reset: 0xf</t>
  </si>
  <si>
    <t>DDRC_ADDRMAP4</t>
  </si>
  <si>
    <t>DDRC_ZQCTL1</t>
  </si>
  <si>
    <r>
      <t>Number of BANK addresses</t>
    </r>
    <r>
      <rPr>
        <vertAlign val="superscript"/>
        <sz val="10"/>
        <rFont val="Arial"/>
        <family val="2"/>
      </rPr>
      <t>2</t>
    </r>
  </si>
  <si>
    <t>Reserved for future use. Set to zero as these bits are not write-able in this design.
Value After Reset: 0x0</t>
  </si>
  <si>
    <t>SKIP_DRAM_INIT</t>
  </si>
  <si>
    <t>POST_CKE_X1024</t>
  </si>
  <si>
    <t>PRE_CKE_X1024</t>
  </si>
  <si>
    <t>Number of DDRC Clock Cycles</t>
  </si>
  <si>
    <t>Number of DDR Clock Cycles or time (ns)</t>
  </si>
  <si>
    <t>WR2RD</t>
  </si>
  <si>
    <t>RD2WR</t>
  </si>
  <si>
    <t>WRITE_LATENCY</t>
  </si>
  <si>
    <t>READ_LATENCY</t>
  </si>
  <si>
    <t>T_XP</t>
  </si>
  <si>
    <t>RD2PRE</t>
  </si>
  <si>
    <t>T_MRW</t>
  </si>
  <si>
    <t>T_MRD</t>
  </si>
  <si>
    <t>T_MOD</t>
  </si>
  <si>
    <t>ACTIVE_RANKS</t>
  </si>
  <si>
    <t>BURST_RDWR</t>
  </si>
  <si>
    <t>DLL_OFF_MODE</t>
  </si>
  <si>
    <t>DATA_BUS_WIDTH</t>
  </si>
  <si>
    <t>BURSTCHOP</t>
  </si>
  <si>
    <t>BURST_MODE</t>
  </si>
  <si>
    <t>DDR3</t>
  </si>
  <si>
    <r>
      <rPr>
        <b/>
        <sz val="10"/>
        <color theme="1"/>
        <rFont val="Arial"/>
        <family val="2"/>
      </rPr>
      <t>Note, this information is automatically obtained from the Device Information table above.</t>
    </r>
    <r>
      <rPr>
        <sz val="10"/>
        <color theme="1"/>
        <rFont val="Arial"/>
        <family val="2"/>
      </rPr>
      <t xml:space="preserve">
Description: Select LPDDR3 SDRAM
■1 - LPDDR3 SDRAM device in use.
■0 - non-LPDDR3 device in use
Present only in designs configured to support LPDDR3.
Value After Reset: 0x0</t>
    </r>
  </si>
  <si>
    <r>
      <rPr>
        <b/>
        <sz val="10"/>
        <color theme="1"/>
        <rFont val="Arial"/>
        <family val="2"/>
      </rPr>
      <t>Note, this information is automatically obtained from the Device Information table above</t>
    </r>
    <r>
      <rPr>
        <sz val="10"/>
        <color theme="1"/>
        <rFont val="Arial"/>
        <family val="2"/>
      </rPr>
      <t>.
Description: Select LPDDR2 SDRAM
■1 - LPDDR2 SDRAM device in use.
■0 - non-LPDDR2 device in use
Present only in designs configured to support LPDDR2.
Value After Reset: 0x0</t>
    </r>
  </si>
  <si>
    <r>
      <rPr>
        <b/>
        <sz val="10"/>
        <color theme="1"/>
        <rFont val="Arial"/>
        <family val="2"/>
      </rPr>
      <t>Note, this information is automatically obtained from the Device Information table above.</t>
    </r>
    <r>
      <rPr>
        <sz val="10"/>
        <color theme="1"/>
        <rFont val="Arial"/>
        <family val="2"/>
      </rPr>
      <t xml:space="preserve">
Description: Select DDR3 SDRAM
■1 - DDR3 SDRAM device in use
■0 - non-DDR3 SDRAM device in use
Only present in designs that support DDR3.
Value After Reset: (MEMC_DDR3==1) ? 0x1 : 0x0</t>
    </r>
  </si>
  <si>
    <t>T_RCD</t>
  </si>
  <si>
    <t>T_CCD</t>
  </si>
  <si>
    <t>T_RRD</t>
  </si>
  <si>
    <t>T_RP</t>
  </si>
  <si>
    <t>T_CKSRX</t>
  </si>
  <si>
    <t>T_CKSRE</t>
  </si>
  <si>
    <t>DRAM_RSTN_X1024</t>
  </si>
  <si>
    <t>PRE_OCD_X32</t>
  </si>
  <si>
    <t>T_RFC_NOM_X32</t>
  </si>
  <si>
    <t>T_RFC_MIN</t>
  </si>
  <si>
    <t>DIS_AUTO_ZQ</t>
  </si>
  <si>
    <t>DIS_SRX_ZQCL</t>
  </si>
  <si>
    <t>ZQ_RESISTOR_SHARED</t>
  </si>
  <si>
    <t>T_ZQ_LONG_NOP</t>
  </si>
  <si>
    <t>T_ZQ_SHORT_NOP</t>
  </si>
  <si>
    <t>T_ZQ_RESET_NOP</t>
  </si>
  <si>
    <t>T_ZQ_SHORT_INTERVAL_X1024</t>
  </si>
  <si>
    <t>DFI_T_CTRL_DELAY</t>
  </si>
  <si>
    <t>DFI_RDDATA_USE_SDR</t>
  </si>
  <si>
    <t>DFI_T_RDDDATA_EN</t>
  </si>
  <si>
    <t>DFI_WRDATA_USE_SDR</t>
  </si>
  <si>
    <t>DFI_TPHY_WRDATA</t>
  </si>
  <si>
    <t>DFI_TPHY_WRLAT</t>
  </si>
  <si>
    <t>DFI_T_WRDATA_DELAY</t>
  </si>
  <si>
    <t>DFI_T_DRAM_CLK_DISABLE</t>
  </si>
  <si>
    <t>DFI_T_DRAM_CLK_ENABLE</t>
  </si>
  <si>
    <t>DIS_AUTO_CTRLUPD</t>
  </si>
  <si>
    <t>DIS_AUTO_CTRLUPD_SRX</t>
  </si>
  <si>
    <t>DFI_T_CTRLUP_MAX</t>
  </si>
  <si>
    <t>DFI_T_CTRLUP_MIN</t>
  </si>
  <si>
    <t>DFI_T_CTRLUPD_INTERVAL_MIN_X1024</t>
  </si>
  <si>
    <t>DFI_T_CTRLUPD_INTERVAL_MAX_X1024</t>
  </si>
  <si>
    <t>DFI_PHYUPD_EN</t>
  </si>
  <si>
    <t>Description: Indicates burst mode.
0 - Sequential burst mode
1 - Interleaved burst mode (not supported in current design)
Value After Reset: 0x0</t>
  </si>
  <si>
    <t>The following ADDRMAP registers are automatically updated from the Device Information table above and should NOT be manually changed.</t>
  </si>
  <si>
    <t>ADDRMAP_CS_BIT1</t>
  </si>
  <si>
    <t>ADDRMAP_CS_BIT0</t>
  </si>
  <si>
    <t>ADDRMAP_BANK_B2</t>
  </si>
  <si>
    <t>ADDRMAP_BANK_B1</t>
  </si>
  <si>
    <t>ADDRMAP_BANK_B0</t>
  </si>
  <si>
    <t>ADDRMAP_COL_B11</t>
  </si>
  <si>
    <t>ADDRMAP_COL_B10</t>
  </si>
  <si>
    <t>ADDRMAP_ROW_B11</t>
  </si>
  <si>
    <t>ADDRMAP_ROW_B2_10</t>
  </si>
  <si>
    <t>ADDRMAP_ROW_B1</t>
  </si>
  <si>
    <t>ADDRMAP_ROW_B0</t>
  </si>
  <si>
    <t>ADDRMAP_ROW_B15</t>
  </si>
  <si>
    <t>ADDRMAP_ROW_B14</t>
  </si>
  <si>
    <t>ADDRMAP_ROW_B13</t>
  </si>
  <si>
    <t>ADDRMAP_ROW_B12</t>
  </si>
  <si>
    <t>The following registers are not recommended to be changed by the user</t>
  </si>
  <si>
    <t>The following register is not recommended to be changed by the user</t>
  </si>
  <si>
    <t>DIFF_RANK_WR_GAP</t>
  </si>
  <si>
    <t>DIFF_RANK_RD_GAP</t>
  </si>
  <si>
    <t>MAX_RANK_RD</t>
  </si>
  <si>
    <t>WR2PRE</t>
  </si>
  <si>
    <t>T_FAW</t>
  </si>
  <si>
    <t>T_RAS_MAX</t>
  </si>
  <si>
    <t>T_RAS_MIN</t>
  </si>
  <si>
    <t>(Automatically Calculated) Number of DDRC Clock Cycles</t>
  </si>
  <si>
    <t>RANK1_RD_ODT</t>
  </si>
  <si>
    <t>RANK1_WR_ODT</t>
  </si>
  <si>
    <t>RANK0_RD_ODT</t>
  </si>
  <si>
    <t>RANK0_WR_ODT</t>
  </si>
  <si>
    <t>Mode register programming - CONFIGURABLE BASED ON DRAM TYPE</t>
  </si>
  <si>
    <t>Mode Register Settings are the same for all Chip Selects. 
Look for the supported memory type and fill in the parameters for that memory type.</t>
  </si>
  <si>
    <t>Details:</t>
  </si>
  <si>
    <t>Version number
(Highest to Lowest)</t>
  </si>
  <si>
    <t>Latest Version Number</t>
  </si>
  <si>
    <t>The following register is automatically updated from the Device Information table above and should NOT be manually changed.</t>
  </si>
  <si>
    <r>
      <t>The following are to be completed in the "</t>
    </r>
    <r>
      <rPr>
        <i/>
        <sz val="11"/>
        <rFont val="Calibri"/>
        <family val="2"/>
      </rPr>
      <t>Register Configuration"</t>
    </r>
    <r>
      <rPr>
        <sz val="11"/>
        <rFont val="Calibri"/>
        <family val="2"/>
      </rPr>
      <t xml:space="preserve"> Worksheet tab.</t>
    </r>
  </si>
  <si>
    <t>This tool is configured to work with (enter board name):</t>
  </si>
  <si>
    <t>ENABLED</t>
  </si>
  <si>
    <t>DISABLED</t>
  </si>
  <si>
    <t>Description: Selects proportion of DQ bus width that is used by the SDRAM
■00 - Full DQ bus width to SDRAM 
■01 - Half DQ bus width to SDRAM
(The following bit settings are not implmented in this design)
■10 - Quarter DQ bus width to SDRAM
■11 - Reserved.
Value After Reset: 0x0</t>
  </si>
  <si>
    <t>LPDDR4</t>
  </si>
  <si>
    <t>DDR4</t>
  </si>
  <si>
    <t>DEVICE_CONFIG</t>
  </si>
  <si>
    <r>
      <rPr>
        <b/>
        <sz val="10"/>
        <color theme="1"/>
        <rFont val="Arial"/>
        <family val="2"/>
      </rPr>
      <t>Note, this information is automatically obtained from the Device Information table above.</t>
    </r>
    <r>
      <rPr>
        <sz val="10"/>
        <color theme="1"/>
        <rFont val="Arial"/>
        <family val="2"/>
      </rPr>
      <t xml:space="preserve">
Description: Maps the Chip Selects in use.
Only the following bit configurations are legal:
■ 01 - for one rank (CS0 populated)
■ 11 - for two ranks (CS1 and CS0 populated)
Value After Reset: 0x3</t>
    </r>
  </si>
  <si>
    <t xml:space="preserve">Choose which registers are used.
■ 0 - Original registers (default, recommended setting)
■ 1 - Shadow registers </t>
  </si>
  <si>
    <t>FREQUENCY_MODE</t>
  </si>
  <si>
    <t>Description: When set, enable burst-chop in DDR3/DDR4. This is only supported in AXI bus configurations (UMCTL2_INCL_ARB not set) using full bus width mode (MSTR.data_bus_width = 00).
■ 0 - Disabled.
■ 1 - Burst-Chop enabled.
Value After Reset: 0x0</t>
  </si>
  <si>
    <r>
      <rPr>
        <b/>
        <sz val="10"/>
        <color theme="1"/>
        <rFont val="Arial"/>
        <family val="2"/>
      </rPr>
      <t>Note, this information is automatically obtained from the Device Information table above.</t>
    </r>
    <r>
      <rPr>
        <sz val="10"/>
        <color theme="1"/>
        <rFont val="Arial"/>
        <family val="2"/>
      </rPr>
      <t xml:space="preserve">
Description: Select LPDDR4 SDRAM
■1 - LPDDR4 SDRAM device in use.
■0 - non-LPDDR4 device in use
Present only in designs configured to support LPDDR4.
Value After Reset: 0x0</t>
    </r>
  </si>
  <si>
    <r>
      <rPr>
        <b/>
        <sz val="10"/>
        <color theme="1"/>
        <rFont val="Arial"/>
        <family val="2"/>
      </rPr>
      <t>Note, this information is automatically obtained from the Device Information table above.</t>
    </r>
    <r>
      <rPr>
        <sz val="10"/>
        <color theme="1"/>
        <rFont val="Arial"/>
        <family val="2"/>
      </rPr>
      <t xml:space="preserve">
Description: Select DDR4 SDRAM
■1 - DDR4 SDRAM device in use.
■0 - non-DDR4 device in use
Present only in designs configured to support DDR4.
Value After Reset: 0x0</t>
    </r>
  </si>
  <si>
    <r>
      <t xml:space="preserve">Description: SDRAM burst length used:
■0001 - Reserved.
</t>
    </r>
    <r>
      <rPr>
        <b/>
        <sz val="10"/>
        <color theme="1"/>
        <rFont val="Arial"/>
        <family val="2"/>
      </rPr>
      <t>■0010 - Burst length of 4 (recommended for LPDDR2)</t>
    </r>
    <r>
      <rPr>
        <sz val="10"/>
        <color theme="1"/>
        <rFont val="Arial"/>
        <family val="2"/>
      </rPr>
      <t xml:space="preserve">
■</t>
    </r>
    <r>
      <rPr>
        <b/>
        <sz val="10"/>
        <color theme="1"/>
        <rFont val="Arial"/>
        <family val="2"/>
      </rPr>
      <t>0100 - Burst length of 8 (recommended for DDR4/DDR3/LPDDR3)</t>
    </r>
    <r>
      <rPr>
        <sz val="10"/>
        <color theme="1"/>
        <rFont val="Arial"/>
        <family val="2"/>
      </rPr>
      <t xml:space="preserve">
■</t>
    </r>
    <r>
      <rPr>
        <b/>
        <sz val="10"/>
        <color theme="1"/>
        <rFont val="Arial"/>
        <family val="2"/>
      </rPr>
      <t>1000 - Burst length of 16 (recommended for LPDDR4)</t>
    </r>
    <r>
      <rPr>
        <sz val="10"/>
        <color theme="1"/>
        <rFont val="Arial"/>
        <family val="2"/>
      </rPr>
      <t xml:space="preserve">
All other values are reserved.
This controls the burst size used to access the SDRAM. This must match the burst length mode register setting in the SDRAM. 
Value After Reset: 0x4</t>
    </r>
  </si>
  <si>
    <t>DDRC_INIT1 is used only for DDR3/LPDDR4 configurations and can be left as is for LPDDR3/LPDDR2. In either case, it is not recommended to change these settings.</t>
  </si>
  <si>
    <t>DIS_MPSMX_ZQCL</t>
  </si>
  <si>
    <t>Description: Specifies the number of DFI clocks between when the dfi_wrdata_en signal is asserted and when the corresponding write data transfer is completed on the DRAM bus.
This corresponds to the DFI timing parameter twrdata_delay. Refer to PHY specification for correct value.
For DFI 3.0 PHY, set to twrdata_delay, a new timing parameter introduced in DFI 3.0.
For DFI 2.1 PHY, set to tphy_wrdata + (delay of DFI write data to the DRAM).
Value to be programmed is in terms of DFI clocks, not PHY clocks.
In FREQ_RATIO=2, divide PHY's value by 2 and round up to next integer.
If using DFITMG0.dfi_wrdata_use_sdr=1, add 1 to the value.
Unit: Clocks
Value After Reset: 0x0</t>
  </si>
  <si>
    <t>DFI_T_CMD_LAT</t>
  </si>
  <si>
    <t>Description: Specifies the number of DFI PHY clocks between when the dfi_cs signal is asserted and when the associated command is driven. This field is used for CAL mode, should be set to '0' or the value which matches the CAL mode register setting in the DRAM.
If the PHY can add the latency for CAL mode, this should be set to '0'.
Valid Range: 0, 3, 4, 5, 6, and 8
Value After Reset: 0x0</t>
  </si>
  <si>
    <t>DFI_T_PARIN_LAT</t>
  </si>
  <si>
    <t>Description: Specifies the number of DFI PHY clocks between when the dfi_cs signal is asserted and when the associated dfi_parity_in signal is driven.
Value After Reset: 0x0</t>
  </si>
  <si>
    <t>DDRC_DFITMG2</t>
  </si>
  <si>
    <t>DFI_TPHY_RDCSLAT</t>
  </si>
  <si>
    <t>DFI_TPHY_WRCSLAT</t>
  </si>
  <si>
    <t>DDRC_DFIMISC</t>
  </si>
  <si>
    <t>DFI_DATA_CS_POLARITY</t>
  </si>
  <si>
    <t>PHY_DBI_MODE</t>
  </si>
  <si>
    <t>DFI_INIT_COMPLETE_EN</t>
  </si>
  <si>
    <t>Description: Defines polarity of dfi_wrdata_cs and dfi_rddata_cs signals.
■0: Signals are active low
■1: Signals are active high
Value After Reset: 0x0</t>
  </si>
  <si>
    <t>Description: DBI implemented in DDRC or PHY.
■0 - DDRC implements DBI functionality.
■1 - PHY implements DBI functionality. Present only in designs configured to support DDR4 and LPDDR4.
Value After Reset: 0x0</t>
  </si>
  <si>
    <t>Description: PHY initialization complete enable signal.
When asserted the dfi_init_complete signal can be used to trigger SDRAM initialization
Value After Reset: 0x1</t>
  </si>
  <si>
    <t>Description: This is the maximum amount of time between uMCTL2 initiated DFI update requests.
This timer resets with each update request; when the timer expires dfi_ctrlupd_req is sent and traffic is blocked until the dfi_ctrlupd_ackx is received. PHY can use this idle time to recalibrate the delay lines to the DLLs. The DFI controller update is also used to reset PHY FIFO pointers in case of data capture errors. Updates are required to maintain calibration over PVT, but frequent updates may impact performance.
Note: Value programmed for DFIUPD1.dfi_t_ctrlupd_interval_max_x1024 must be greater than DFIUPD1.dfi_t_ctrlupd_interval_min_x1024.
Unit: 1024 clocks
Value After Reset: 0x0</t>
  </si>
  <si>
    <t>DDRC MR and EMR:
LPDDR4/LPDDR3/LPDDR2 MR1 and MR2 Register Settings
or
DDR3 MR0 and MR1 Register Settings</t>
  </si>
  <si>
    <t>DDRC EMR and EMR3:
LPDDR4/LPDDR3/LPDDR2 MR3 Register Settings 
or
DDR3 MR2 and MR3 Register Settings</t>
  </si>
  <si>
    <t>DDRC0 Base Address (do not modify)</t>
  </si>
  <si>
    <t>DDRC0 Register address</t>
  </si>
  <si>
    <t>DDRC0 Register address (HEX)</t>
  </si>
  <si>
    <t>DDRC_RFSHCTL0</t>
  </si>
  <si>
    <t>refresh_margin</t>
  </si>
  <si>
    <t>Threshold value in number of DFI clock cycles before the critical refresh or page timer expires. A critical refresh is to be issued before this threshold is reached. It is recommended that this not be changed from the default value, currently shown as 0x2. It must always be less than internally used t_rfc_nom_x32. Note that, in LPDDR2/LPDDR3/LPDDR4, internally used t_rfc_nom_x32 may be equal to RFSHTMG.t_rfc_nom_x32&gt;&gt;2 if derating is enabled (DERATEEN.derate_enable=1). Otherwise, internally used t_rfc_nom_x32 will be equal to RFSHTMG.t_rfc_nom_x32.
Unit: Multiples of 32 DFI clocks.
Value After Reset: 0x2
Exists: Always</t>
  </si>
  <si>
    <t>refresh_to_x32</t>
  </si>
  <si>
    <t>If the refresh timer (tRFCnom, also known as tREFI) has expired at least once, but it has not expired (RFSHCTL0.refresh_burst+1) times yet, then a speculative refresh may be performed. A speculative refresh is a refresh performed at a time when refresh would be useful, but before it is absolutely required. When the SDRAM bus is idle for a period of time determined by this RFSHCTL0.refresh_to_x32 and the refresh timer has expired at least once since the last refresh, then a speculative refresh is performed. Speculative refreshes continues successively until there are no refreshes pending or until new reads or writes are issued to the uMCTL2.
FOR PERFORMANCE ONLY.
Unit: Multiples of 32 DFI clocks.
Value After Reset: 0x10
Exists: Always</t>
  </si>
  <si>
    <t>refresh_burst</t>
  </si>
  <si>
    <t>The programmed value + 1 is the number of refresh timeouts that is allowed to accumulate before traffic is blocked and the refreshes are forced to execute. Closing pages to perform a refresh is a one-time penalty that must be paid for each group of refreshes. Therefore, performing refreshes in a burst reduces the per-refresh penalty of these page closings. Higher numbers for RFSHCTL.refresh_burst slightly increases utilization; lower numbers decreases the worst-case latency associated with refreshes.
■0 - single refresh
■1 - burst-of-2 refresh
■7 - burst-of-8 refresh
For information on burst refresh feature refer to section 3.9 of DDR2 JEDEC specification - JESD79-2F.pdf.
For DDR2/3, the refresh is always per-rank and not per-bank. The rank refresh can be accumulated over 8*tREFI cycles using the burst refresh feature. In DDR4 mode, according to Fine Granularity feature, 8 refreshes can be postponed in 1X mode, 16 refreshes in 2X mode and 32 refreshes in 4X mode. If using PHY-initiated updates, care must be taken in the setting of RFSHCTL0.refresh_burst, to ensure that tRFCmax is not violated due to a PHY-initiated update occurring shortly before a refresh burst was due. In this situation, the refresh burst will be delayed until the PHY-initiated update is complete.
Value After Reset: 0x0
Exists: Always</t>
  </si>
  <si>
    <t>per_bank_refresh</t>
  </si>
  <si>
    <t>■1 - Per bank refresh;
■0 - All bank refresh.
Per bank refresh allows traffic to flow to other banks. Per bank refresh is not supported by all LPDDR2 devices but should be supported by all LPDDR3/LPDDR4 devices. Present only in designs configured to support LPDDR2/LPDDR3/LPDDR4
Value After Reset: 0x0
Exists: MEMC_LPDDR2==1</t>
  </si>
  <si>
    <t>T_RC</t>
  </si>
  <si>
    <t>tMOD: Parameter used only in DDR3 and DDR4. Cycles between load mode command and following non-load mode command.
If C/A parity for DDR4 is used, set to tMOD_PAR(tMOD+PL) instead.
Set to tMOD if controller is operating in 1:1 frequency ratio mode, or tMOD/2 (rounded up to next integer) if controller is operating in 1:2 frequency ratio mode. Note that if using RDIMM/LRDIMM, depending on the PHY, it may be necessary to adjust the value of this parameter to compensate for the extra cycle of latency applied to mode register writes by the RDIMM/LRDIMM chip.
Also note that if using LRDIMM, the minimum value of this register is tMRD_L2 if controller is operating in 1:1 frequency ratio mode, or tMRD_L2/2 (rounded up to next integer) if controller is operating in 1:2 frequency ratio mode.</t>
  </si>
  <si>
    <r>
      <rPr>
        <b/>
        <sz val="10"/>
        <color theme="1"/>
        <rFont val="Arial"/>
        <family val="2"/>
      </rPr>
      <t>Note, this field is updated automatically and it is not recommended to manually configure it.</t>
    </r>
    <r>
      <rPr>
        <sz val="10"/>
        <color theme="1"/>
        <rFont val="Arial"/>
        <family val="2"/>
      </rPr>
      <t xml:space="preserve">
Number of cycles to assert SDRAM reset signal during init sequence.
This is only present for designs supporting DDR3, DDR4 or LPDDR4 devices. For use with a Synopsys DDR PHY, this should be set to a minimum of 1.
When the controller is operating in 1:2 frequency ratio mode, program this to JEDEC spec value divided by 2, and round it up to the next integer value.
Unit: 1024 DFI clock cycles.
Value After Reset: 0x0</t>
    </r>
  </si>
  <si>
    <r>
      <t xml:space="preserve">Description: Selects the HIF address bit used as column address bit 11.
Valid Range: 0 to 7 and 15
Internal Base: 11
The selected HIF address bit is determined by adding the internal base to the value of this field.
If set to 15, column address bit 11 is set to 0.
Value After Reset: 0x0
</t>
    </r>
    <r>
      <rPr>
        <b/>
        <sz val="10"/>
        <color theme="1"/>
        <rFont val="Arial"/>
        <family val="2"/>
      </rPr>
      <t>NOTE, documentation may be wrong. Per designer, RTL says this is a 5-bit field and to disable, must set to 0x1F.</t>
    </r>
  </si>
  <si>
    <r>
      <t xml:space="preserve">Description: Selects the HIF address bit used as column address bit 10.
Valid Range: 0 to 7 and 15
Internal Base: 10
The selected HIF address bit is determined by adding the internal base to the value of this field.
If set to 15, bank column bit 10 is set to 0.
Value After Reset: 0x0
</t>
    </r>
    <r>
      <rPr>
        <b/>
        <sz val="10"/>
        <color theme="1"/>
        <rFont val="Arial"/>
        <family val="2"/>
      </rPr>
      <t>NOTE, documentation may be wrong. Per designer, RTL says this is a 5-bit field and to disable, must set to 0x1F.</t>
    </r>
  </si>
  <si>
    <t>Micron</t>
  </si>
  <si>
    <t>This register configuration is included for future reference and may not be currently used.</t>
  </si>
  <si>
    <r>
      <rPr>
        <b/>
        <sz val="10"/>
        <color theme="1"/>
        <rFont val="Arial"/>
        <family val="2"/>
      </rPr>
      <t>Note, this field is updated automatically and it is not recommended to manually configure it.</t>
    </r>
    <r>
      <rPr>
        <sz val="10"/>
        <color theme="1"/>
        <rFont val="Arial"/>
        <family val="2"/>
      </rPr>
      <t xml:space="preserve">
Cycles to wait after reset before driving CKE high to start the SDRAM initialization sequence.
Unit: 1024 DFI clock cycles.
DDR2 specifications typically require this to be programmed for a delay of &gt;= 200 us.
LPDDR2/LPDDR3: tINIT1 of 100 ns (min)
LPDDR4: tINIT3 of 2 ms (min)
When the controller is operating in 1:2 frequency ratio mode, program this to JEDEC spec value divided by 2, and round it up to the next integer value.
For DDR3/DDR4 RDIMMs, this should include the time needed to satisfy tSTAB
Value After Reset: 0x4e</t>
    </r>
  </si>
  <si>
    <t>Only present for multi-rank configurations.
Indicates the number of clocks of gap in data responses when performing consecutive writes to different ranks.
This is used to switch the delays in the PHY to match the rank requirements. This value should consider both PHY requirement and ODT requirement.
■PHY requirement:
tphy_wrcsgap (see PHY databook for value of tphy_wrcsgap)
If CRC feature is enabled, should be increased by 1.
If write preamble is set to 2tCK(DDR4 only), should be increased by 1.
If write postamble is set to 1.5tCK(LPDDR4 only), should be increased by 1.
■ODT requirement:
The value programmed in this register takes care of the ODT switch off timing requirement when switching ranks during writes.
For LPDDR4, the requirement is ODTLoff - ODTLon - BL/2 + 1
When the controller is operating in 1:1 mode, program this to the larger of PHY requirement or ODT requirement.
When the controller is operating in 1:2 mode, program this to the larger value divided by two and round it up to the next integer.
Note that, if using DDR4-LRDIMM, refer to TWRWR timing requirements in JEDEC DDR4 Data Buffer (DDR4DB01) Specification.
Value After Reset: 0x6</t>
  </si>
  <si>
    <r>
      <rPr>
        <b/>
        <sz val="10"/>
        <color theme="1"/>
        <rFont val="Arial"/>
        <family val="2"/>
      </rPr>
      <t>Note, this field is updated automatically and it is not recommended to manually configure it.</t>
    </r>
    <r>
      <rPr>
        <sz val="10"/>
        <color theme="1"/>
        <rFont val="Arial"/>
        <family val="2"/>
      </rPr>
      <t xml:space="preserve">
tRAS(max): Maximum time between activate and precharge to same bank. This is the maximum time that a page can be kept open
Minimum value of this register is 1. Zero is invalid.
When the controller is operating in 1:2 frequency ratio mode, program this to (tRAS(max)-1)/2. No rounding up.
Unit: Multiples of 1024 clocks.
Value After Reset: 0x1b</t>
    </r>
  </si>
  <si>
    <t>T_CKESR</t>
  </si>
  <si>
    <t>T_CKE</t>
  </si>
  <si>
    <t>DDRC_ZQCTL1 is mainly used only for LPDDR4/LPDDR3/LPDDR2 configurations.</t>
  </si>
  <si>
    <t>Description: Defines whether dfi_rddata_en/dfi_rddata/dfi_rddata_valid is generated using HDR or SDR values Selects whether value in DFITMG0.dfi_t_rddata_en is in terms of SDR or HDR clock cycles:
■ 0 in terms of HDR clock cycles
■ 1 in terms of SDR clock cycles
Refer to PHY specification for correct value.
Value After Reset: 0x0
Note: Some documents may refer to this bit as dfi_rddata_use_dfi_phy_clk</t>
  </si>
  <si>
    <t>Description: Defines whether dfi_wrdata_en/dfi_wrdata/dfi_wrdata_mask is generated using HDR or SDR values Selects whether value in DFITMG0.dfi_tphy_wrlat is in terms of SDR or HDR clock cycles Selects whether value in DFITMG0.dfi_tphy_wrdata is in terms of SDR or HDR clock cycles
■ 0 in terms of HDR clock cycles
■ 1 in terms of SDR clock cycles
Refer to PHY specification for correct value.
Value After Reset: 0x0
Note: Some documents may refer to this bit as dfi_wrdata_use_dfi_phy_clk</t>
  </si>
  <si>
    <t>0x00000001</t>
  </si>
  <si>
    <t>0x00000000</t>
  </si>
  <si>
    <t>Margin added for refresh window.</t>
  </si>
  <si>
    <t>LPDDR4_6gb_12gb_24gb</t>
  </si>
  <si>
    <t>Indicates what type of LPDDR4 SDRAM device is in use. Per Rank
■ 2'b00: No LPDDR4 SDRAM 6Gb/12Gb/24Gb device in
use. All addresses are valid
■ 2'b01: LPDDR4 SDRAM 6Gb device in use. Every
address having row[14:13]==2'b11 is considered as
invalid
■ 2'b10: LPDDR4 SDRAM 12Gb device in use. Every
address having row[15:14]==2'b11 is considered as
invalid
■ 2'b11: LPDDR4 SDRAM 24Gb device in use.
Unsupported
Present only in designs configured to support LPDDR4.</t>
  </si>
  <si>
    <t>ADDRMAP_COL_B9</t>
  </si>
  <si>
    <t>DDRC_ADDRMAP3</t>
  </si>
  <si>
    <t>ADDRMAP_COL_B8</t>
  </si>
  <si>
    <t>ADDRMAP_COL_B7</t>
  </si>
  <si>
    <t>ADDRMAP_COL_B6</t>
  </si>
  <si>
    <t>Description:
• Full bus width mode: Selects the HIF address bit used as column address bit 6.
• Half bus width mode: Selects the HIF address bit used as column address bit 7.
• Quarter bus width mode: Selects the HIF address bit used as column address bit 8.
Valid Range: 0 to 7, and 15
Internal Base: 6
The selected HIF address bit is determined by adding the internal base to the value of this field. If set to
15, this column address bit is set to 0.
Value After Reset: 0x0</t>
  </si>
  <si>
    <t>0x200</t>
  </si>
  <si>
    <t xml:space="preserve">i.MX8M (m850) DDR Controller Configuration Spreadsheet </t>
  </si>
  <si>
    <t>3D400000</t>
  </si>
  <si>
    <t>i.MX8M sets this to 0x3</t>
  </si>
  <si>
    <r>
      <rPr>
        <b/>
        <sz val="10"/>
        <color theme="1"/>
        <rFont val="Arial"/>
        <family val="2"/>
      </rPr>
      <t>Note, this field is updated automatically and it is not recommended to manually configure it.</t>
    </r>
    <r>
      <rPr>
        <sz val="10"/>
        <color theme="1"/>
        <rFont val="Arial"/>
        <family val="2"/>
      </rPr>
      <t xml:space="preserve">
Cycles to wait after driving CKE high to start the SDRAM initialization sequence.
Unit: 1024 DFI clock cycles.
DDR2 typically requires a 400 ns delay, requiring this value to be programmed to 2 at all clock speeds.
LPDDR2/LPDDR3 typically requires this to be programmed for a delay of 200 us.
LPDDR4 typically requires this to be programmed for a delay of 2 us.
When the controller is operating in 1:2 frequency ratio mode, program this to JEDEC spec value divided by 2, and round it up to the next integer value.
Each settings give a range as follows:
0: no delay
1: 1 to 1024 cycle delay
2: 1025 to 2048 cycle delay
3: 2048 to 3072 cycle delay
4: 3073 to 4096 cycle delay
5: 4097 to 5120 cycle delay
and so on.
Hence, we need to select a value that meets/exceeds the min value for each range, therefore, we add 1 to the value calculated.
Value After Reset: 0x2</t>
    </r>
  </si>
  <si>
    <t>Average interval to wait between automatically issuing ZQCS (ZQ calibration short)/MPC(ZQ calibration) commands to DDR3/DDR4/LPDDR2/LPDDR3/LPDDR4 devices.
Meaningless, if ZQCTL0.dis_auto_zq=1.
Unit: 1024 DFI clock cycles.
This is only present for designs supporting DDR3/DDR4 or LPDDR2/LPDDR3/LPDDR4 devices.
Value After Reset: 0x100
Recommend to set to 32ms to align with DRAM vendor's temperature sensor interval.</t>
  </si>
  <si>
    <r>
      <t xml:space="preserve">Description: Time from the assertion of a read command on the DFI interface to the assertion of the dfi_rddata_en signal.
Refer to PHY specification for correct value.
This corresponds to the DFI parameter trddata_en. Note that, depending on the PHY, if using RDIMM, it may be necessary to use the value (CL + 1) in the calculation of trddata_en. This is to compensate for the extra cycle of latency through the RDIMM.
Unit: Clocks
Value After Reset: 0x2
</t>
    </r>
    <r>
      <rPr>
        <b/>
        <sz val="10"/>
        <color theme="1"/>
        <rFont val="Arial"/>
        <family val="2"/>
      </rPr>
      <t>Per PUB databook, trddata_en = RL-5, where RL is RL (read latency)</t>
    </r>
  </si>
  <si>
    <t>Description: Specifies the number of DFI clock cycles after an assertion or de-assertion of the DFI control signals that the control signals at the PHY-DRAM interface reflect the assertion or de-assertion. If the DFI clock and the memory clock are not phase-aligned, this timing parameter should be rounded up to the next integer value. Note that if using RDIMM/LRDIMM, it is necessary to increment this parameter by RDIMM's/LRDIMM's extra cycle of latency in terms of DFI clock.
Value After Reset: 0x7</t>
  </si>
  <si>
    <t>Enables support of ctl_idle signal, which is non-DFI related pin specific to certain Synopsys PHYs. See signal description of ctl_idle signal for further details of ctl_idle functionality.
Value After Reset: 0x0
Per SNPS, this isn't used and has no affect, so leave set.</t>
  </si>
  <si>
    <t>Description: Number of clocks between when a read command is sent on the DFI control interface and when the associated dfi_rddata_cs signal is asserted. This corresponds to the DFI timing parameter tphy_rdcslat. Refer to PHY specification for correct value.
Value After Reset: 0x2</t>
  </si>
  <si>
    <t>Description: Number of clocks between when a write command is sent on the DFI control interface and when the associated dfi_wrdata_cs signal is asserted. This corresponds to the DFI timing parameter tphy_wrcslat.
Refer to PHY specification for correct value.
Value After Reset: 0x2
Per PUB: tphy_wrcslat = WL-5, where WL = WL+1</t>
  </si>
  <si>
    <t>Description: Write latency
Number of clocks from the write command to write data enable (dfi_wrdata_en). This corresponds to the DFI timing parameter tphy_wrlat.
Refer to PHY specification for correct value.
This field is automatically updated.
Value After Reset: 0x2
Per PUB databook, should be WL-5, where WL=WL+1</t>
  </si>
  <si>
    <t>Only present for multi-rank configurations.
Indicates the number of clocks of gap in data responses when performing consecutive reads to different ranks.
This is used to switch the delays in the PHY to match the rank requirements.
This value should consider both PHY requirement and ODT requirement.
■PHY requirement:
tphy_rdcsgap (see PHY databook for value of tphy_rdcsgap)
If read preamble is set to 2tCK(DDR4 only), should be increased by 1.
If read postamble is set to 1.5tCK(LPDDR4 only), should be increased by 1.
■ODT requirement:
The value programmed in this register takes care of the ODT switch off timing requirement when switching ranks during reads.
When the controller is operating in 1:1 mode, program this to the larger of PHY requirement or ODT requirement.
When the controller is operating in 1:2 mode, program this to the larger value divided by two and round it up to the next integer.
Note that, if using DDR4-LRDIMM, refer to TRDRD timing requirements in JEDEC DDR4 Data Buffer (DDR4DB01) Specification.
Value After Reset: 0x6
Per PUB databook, tphy_rdcsgap = 2, then add 1 for read postamble, gives 3 clocks, divided by 2 yields 2. Add one to the final value to provide some margin.</t>
  </si>
  <si>
    <t>DDRC_DFIPHYMSTR</t>
  </si>
  <si>
    <t>DFI_PHYMSTR_EN</t>
  </si>
  <si>
    <t>Enables the PHY Master Interface:
■0 - Disabled
■1 - Enabled
Value After Reset: 0x1</t>
  </si>
  <si>
    <t>CTL_IDLE_EN</t>
  </si>
  <si>
    <t>CTRLUPD_PRE_SRX</t>
  </si>
  <si>
    <t>Selects dfi_ctrlupd_req requirements at SRX:
■0 : send ctrlupd after SRX
■1 : send ctrlupd before SRX If DFIUPD0.dis_auto_ctrlupd_srx=1, this register has no impact, because no dfi_ctrlupd_req will be issued when SRX.
Value After Reset: 0x0</t>
  </si>
  <si>
    <t xml:space="preserve">memory set </t>
  </si>
  <si>
    <t>memory set</t>
  </si>
  <si>
    <t>################step2: DDRC configuration ################</t>
  </si>
  <si>
    <t>0x3d400304</t>
  </si>
  <si>
    <t>0x3d400030</t>
  </si>
  <si>
    <t>#RESET DDRC</t>
  </si>
  <si>
    <t>0x80000000</t>
  </si>
  <si>
    <t>#SRC_DDRC_RCR_ADDR</t>
  </si>
  <si>
    <t>0x30391000</t>
  </si>
  <si>
    <t>0x8F000000</t>
  </si>
  <si>
    <t>0x3d400320</t>
  </si>
  <si>
    <t>0x3d4001b0</t>
  </si>
  <si>
    <t>#</t>
  </si>
  <si>
    <t>#      Note, though the extension of this file implies use with the DS5 debugger,</t>
  </si>
  <si>
    <t xml:space="preserve">#      the file is meant specifically for the DDR Stress Test GUI tool. </t>
  </si>
  <si>
    <t>#      It contains data commands which are not compatible with the DS5 debugger,</t>
  </si>
  <si>
    <t>#      trying to use this file with DS5 will result in errors.</t>
  </si>
  <si>
    <t>#      There are currently no plans to create a DS5 JTAG DRAM initialization script.</t>
  </si>
  <si>
    <t># DCD command:</t>
  </si>
  <si>
    <t># CMD_WRITE_DATA: memory set ADDR BITWIDTH VALUE                 : *ADDR = VALUE</t>
  </si>
  <si>
    <t># CMD_SET_BIT:    memory setbit ADDR BITWIDTH VALUE              : *ADDR = *ADDR | VALUE</t>
  </si>
  <si>
    <t># CMD_CLR_BIT:    memory clrbit ADDR BITWIDTH VALUE              : *ADDR = *ADDR &amp;~ VALUE</t>
  </si>
  <si>
    <t># CMD_CHECK_BIT_SET:  memory chkbit1 ADDR BITWIDTH VALUE         : while((*ADDR &amp; VALUE) != VALUE){}</t>
  </si>
  <si>
    <t># CMD_CHECK_BIT_CLR:  memory chkbit0 ADDR BITWIDTH VALUE         : while((*ADDR &amp; VALUE) != 0){}</t>
  </si>
  <si>
    <t>###########################################################################################################</t>
  </si>
  <si>
    <t>################step 1: DDR clock configuration################</t>
  </si>
  <si>
    <t xml:space="preserve">#change the clock source of dram_apb_clk_root </t>
  </si>
  <si>
    <t>#disable the clock gating</t>
  </si>
  <si>
    <t>memory setbit</t>
  </si>
  <si>
    <t>#DRAM_PLL_CONFIG</t>
  </si>
  <si>
    <t>memory clrbit</t>
  </si>
  <si>
    <t>memory chkbit1</t>
  </si>
  <si>
    <t>0x3038A088</t>
  </si>
  <si>
    <t>0x07070000</t>
  </si>
  <si>
    <t>#CCM_TARGET_ROOT_CLR(DRAM_APB_CLK_ROOT)</t>
  </si>
  <si>
    <t>0x3038A084</t>
  </si>
  <si>
    <t>0x04030000</t>
  </si>
  <si>
    <t>#CCM_TARGET_ROOT_SET(DRAM_APB_CLK_ROOT):MUX=4(system_pll1_800M_clk), PRE_PODF=3 //DRAM_APB_CLK=800/4=200MHz</t>
  </si>
  <si>
    <t>0x0000FFFF</t>
  </si>
  <si>
    <t>#PGC_CPU_MAPPING</t>
  </si>
  <si>
    <t>0x303A00EC</t>
  </si>
  <si>
    <t>0x303A00F8</t>
  </si>
  <si>
    <t>0x20</t>
  </si>
  <si>
    <t>#GPC_PU_PGC_SW_PUP_REQ: DDR1_SW_PUP_REQ=1</t>
  </si>
  <si>
    <t>0x8f000000</t>
  </si>
  <si>
    <t>#SRC_DDRC_RCR_ADDR:  release [0]ddr1_preset_n, [1]ddr1_core_reset_n, [2]ddr1_phy_reset, [3]ddr2_phy_pwrokin_n</t>
  </si>
  <si>
    <t>#SRC_DDRC2_RCR_ADDR: release [0]ddr2_preset_n, [1]ddr2_core_reset_n, [2]ddr2_phy_reset, [3]ddr2_phy_pwrokin_n</t>
  </si>
  <si>
    <t>0x30391004</t>
  </si>
  <si>
    <t>0x30360068</t>
  </si>
  <si>
    <t>0x30360060</t>
  </si>
  <si>
    <t>0x80</t>
  </si>
  <si>
    <t>#HW_DRAM_PLL_CFG0: SYS_PLL_PD</t>
  </si>
  <si>
    <t>#HW_DRAM_PLL_CFG0: PLL clock enable</t>
  </si>
  <si>
    <t>#HW_DRAM_PLL_CFG0:  PLL_BYPASS1 disable</t>
  </si>
  <si>
    <t>#HW_DRAM_PLL_CFG0: PLL_BYPASS2 disable</t>
  </si>
  <si>
    <t>#HW_DRAM_PLL_CFG0: wait PLL lock</t>
  </si>
  <si>
    <t>#SRC_DDRC_RCR_ADDR: release [0]ddr1_preset_n, [1]ddr1_core_reset_n, [2]ddr1_phy_reset, [3]ddr1_phy_pwrokin_n</t>
  </si>
  <si>
    <t>0x10</t>
  </si>
  <si>
    <t>0x8f000006</t>
  </si>
  <si>
    <t>dram_type</t>
  </si>
  <si>
    <t>ddrparam set</t>
  </si>
  <si>
    <t># DDR parameter settings</t>
  </si>
  <si>
    <t>#########################</t>
  </si>
  <si>
    <t>#DDR4=0,DDR3=1,LPDDR4=2,LPDDR3=3,DDR5=4</t>
  </si>
  <si>
    <t>#TrainCtrl[0] = Run DevInit - Device/phy initialization. Should always be set.</t>
  </si>
  <si>
    <t>TrainInfo</t>
  </si>
  <si>
    <t>0xC8</t>
  </si>
  <si>
    <t>#0x05 = Detailed debug (e.g. eys delays)</t>
  </si>
  <si>
    <t>0x00</t>
  </si>
  <si>
    <t>ATxImpedance</t>
  </si>
  <si>
    <t>ODTImpedance</t>
  </si>
  <si>
    <t xml:space="preserve">WDQSExt     </t>
  </si>
  <si>
    <t xml:space="preserve">SlewFallDQ  </t>
  </si>
  <si>
    <t xml:space="preserve">SlewFallAC  </t>
  </si>
  <si>
    <t xml:space="preserve">SlewRiseAC  </t>
  </si>
  <si>
    <t>CaliInterval</t>
  </si>
  <si>
    <t>0x0f</t>
  </si>
  <si>
    <t>0x09</t>
  </si>
  <si>
    <t>DDR Parameters</t>
  </si>
  <si>
    <t>MR1</t>
  </si>
  <si>
    <t>MR2</t>
  </si>
  <si>
    <t>Do not update this value directly as this value is automatically updated from the value provided in register DDRC_INIT3 above.</t>
  </si>
  <si>
    <t>Do not update this value directly as this value is automatically updated from the value provided in register DDRC_INIT4 above.</t>
  </si>
  <si>
    <t>Certain DRAM implementations are known to implement a clock divider circuit (clocked by DQS_T, DQS_C) to enable operating the internal receive data path at quarter bit-rate frequencies. As such, it requries that the Write DQS Extension be enabled. Eventually, this may be defaulted as enabled, but for now it is disabled.</t>
  </si>
  <si>
    <t>Desired ODT impedance in Ohm (Valid values for DDR4 = 240, 120, 80, 60, 40, Valid values for DDR3L = high-impedance, 120, 60, 40, Valid values for LPDDR4 = 240, 120, 80, 60, 40)</t>
  </si>
  <si>
    <t>Write Driver Impedance for DQ/DQS in ohm (Valid values for all DramType = 240, 120, 80, 60, 48, 40, 34)</t>
  </si>
  <si>
    <t>Write Driver Impedance for Address/Command (AC) bus in ohm (Valid values for all DramType = 120, 60, 40, 30, 24, 20)</t>
  </si>
  <si>
    <t xml:space="preserve">extCalRes     </t>
  </si>
  <si>
    <t>External pull-down resistor value in Ohm (recommend to set to 0 for normal operation)</t>
  </si>
  <si>
    <t xml:space="preserve">CaliOnce   </t>
  </si>
  <si>
    <t>Specifies the interval between successive calibrations, in mS (0= continuous,1= 0.01, 2=0.10, 3=1, 4=2, 5=3, 6=4, 7=8, 8=10, 9=20, other reserved). Recommend to set this to 0x9.</t>
  </si>
  <si>
    <t>This setting changes the behaviour of CSR CalRun (1: The 0-&gt;1 transition of CSR CalRun causes a single iteration of the calibration sequence to occur, 0: Calibration will proceed at the rate determined by CSR CaliInterval). Recommend to set this to 0.</t>
  </si>
  <si>
    <t>Pull-up slew rate control for DBYTE Tx. Value specified here will be applied directly to TxSlewRate. For optimal operation, recommend to set to 0x0f.</t>
  </si>
  <si>
    <t>Pull-down slew rate control for DBYTE Tx. Value specified here will be applied directly to TxSlewRate. For optimal operation, recommend to set to 0x0f.</t>
  </si>
  <si>
    <t>Pull-up slew rate control for ANIB Tx. Value specified here will be applied directly to ATxSlewRate. For optimal operation, recommend to set to 0x0f.</t>
  </si>
  <si>
    <t>Pull-down slew rate control for ANIB Tx. Value specified here will be applied directly to ATxSlewRate. For optimal operation, recommend to set to 0x0f.</t>
  </si>
  <si>
    <t># The following is to configure the recommended training, it is strongly recommended not to change this</t>
  </si>
  <si>
    <t># The following is for internal factory use, it is strongly recommended not to change this</t>
  </si>
  <si>
    <t>#DDRC_DBG1: dis_dq=1, indicates no reads or writes are issued to SDRAM</t>
  </si>
  <si>
    <t xml:space="preserve">#DDRC_MSTR   </t>
  </si>
  <si>
    <t xml:space="preserve">#DDRC_INIT0  </t>
  </si>
  <si>
    <t xml:space="preserve">#DDRC_INIT1  </t>
  </si>
  <si>
    <t xml:space="preserve">#DDRC_INIT4  </t>
  </si>
  <si>
    <t xml:space="preserve">#DDRC_RANKCTL  </t>
  </si>
  <si>
    <t xml:space="preserve">#DDRC_DRAMTMG2 </t>
  </si>
  <si>
    <t xml:space="preserve">#DDRC_DRAMTMG3 </t>
  </si>
  <si>
    <t xml:space="preserve">#DDRC_DRAMTMG4 </t>
  </si>
  <si>
    <t xml:space="preserve">#DDRC_ZQCTL0   </t>
  </si>
  <si>
    <t xml:space="preserve">#DDRC_DFITMG0  </t>
  </si>
  <si>
    <t xml:space="preserve">#DDRC_DFITMG1  </t>
  </si>
  <si>
    <t xml:space="preserve">#DDRC_DFIUPD0  </t>
  </si>
  <si>
    <t xml:space="preserve">#DDRC_DFIUPD1  </t>
  </si>
  <si>
    <t xml:space="preserve">#DDRC_DFIUPD2  </t>
  </si>
  <si>
    <t xml:space="preserve">#DDRC_DFIMISC  </t>
  </si>
  <si>
    <t xml:space="preserve">#DDRC_DFITMG2  </t>
  </si>
  <si>
    <t>#DDRC_DFI_PHYMSTR</t>
  </si>
  <si>
    <t xml:space="preserve">#DDRC_ADDRMAP0 </t>
  </si>
  <si>
    <t xml:space="preserve">#DDRC_ADDRMAP3 </t>
  </si>
  <si>
    <t xml:space="preserve">#DDRC_ADDRMAP4 </t>
  </si>
  <si>
    <t xml:space="preserve">#DDRC_ADDRMAP1 </t>
  </si>
  <si>
    <t xml:space="preserve">#DDRC_ADDRMAP5 </t>
  </si>
  <si>
    <t xml:space="preserve">#DDRC_ADDRMAP6 </t>
  </si>
  <si>
    <t xml:space="preserve">#DDRC_ODTMAP   </t>
  </si>
  <si>
    <t>#DDRC_DBG1</t>
  </si>
  <si>
    <t>#DDRC_PWRCTL</t>
  </si>
  <si>
    <t>#DDRC_SWCTL</t>
  </si>
  <si>
    <t>DDRC_PWRCTL</t>
  </si>
  <si>
    <t>lpddr4_sr_allowed</t>
  </si>
  <si>
    <t>dis_cam_drain_selfref</t>
  </si>
  <si>
    <t>stay_in_selfref</t>
  </si>
  <si>
    <t>selfref_sw</t>
  </si>
  <si>
    <t>mpsm_en</t>
  </si>
  <si>
    <t>en_dfi_dram_clk_disable</t>
  </si>
  <si>
    <t>deeppowerdown_en</t>
  </si>
  <si>
    <t>powerdown_en</t>
  </si>
  <si>
    <t>selfref_en</t>
  </si>
  <si>
    <t>If true then the uMCTL2 puts the SDRAM into Self Refresh after a programmable number of cycles "maximum idle clocks before Self Refresh (PWRTMG.selfref_to_x32)". This register bit may be re-programmed during the course of normal operation.
Value After Reset: 0x0</t>
  </si>
  <si>
    <t>If true then the uMCTL2 goes into power-down after a programmable number of cycles "maximum idle clocks before power down" (PWRTMG.powerdown_to_x32).
This register bit may be re-programmed during the course of normal operation.
Value After Reset: 0x0</t>
  </si>
  <si>
    <t>When this is 1, uMCTL2 puts the SDRAM into deep power-down mode when the transaction store is empty.
This register must be reset to '0' to bring uMCTL2 out of deep power-down mode. Controller performs automatic SDRAM initialization on deep power-down exit.
Present only in designs configured to support mDDR or LPDDR2 or LPDDR3. For non-mDDR/non-LPDDR2/non-LPDDR3, this register should not be set to 1.
FOR PERFORMANCE ONLY.
Value After Reset: 0x0</t>
  </si>
  <si>
    <t>Enable the assertion of dfi_dram_clk_disable whenever a clock is not required by the SDRAM.
If set to 0, dfi_dram_clk_disable is never asserted.
Assertion of dfi_dram_clk_disable is as follows:
In DDR2/DDR3, can only be asserted in Self Refresh.
In DDR4, can be asserted in following:
■in Self Refresh.
■in Maximum Power Saving Mode
In mDDR/LPDDR2/LPDDR3, can be asserted in following:
■in Self Refresh
■in Power Down
■in Deep Power Down
■during Normal operation (Clock Stop)
In LPDDR4, can be asserted in following:
■in Self Refresh Power Down
■in Power Down
■during Normal operation (Clock Stop)
Value After Reset: 0x0</t>
  </si>
  <si>
    <t>When this is 1, the uMCTL2 puts the SDRAM into maximum power saving mode when the transaction store is empty.
This register must be reset to '0' to bring uMCTL2 out of maximum power saving mode.
Present only in designs configured to support DDR4. For non-DDR4, this register should not be set to 1.
Note that MPSM is not supported when using a Synopsys DWC DDR PHY, if the PHY parameter DWC_AC_CS_USE is disabled, as the MPSM exit sequence requires the chip-select signal to toggle.
FOR PERFORMANCE ONLY.
Value After Reset: 0x0</t>
  </si>
  <si>
    <t>A value of 1 to this register causes system to move to Self Refresh state immediately, as long as it is not in INIT or DPD/MPSM operating_mode. This is referred to as Software Entry/Exit to Self Refresh.
■1 - Software Entry to Self Refresh
■0 - Software Exit from Self Refresh
Value After Reset: 0x0</t>
  </si>
  <si>
    <t>Self refresh state is an intermediate state to enter to Self refresh power down state or exit Self refresh power down state for LPDDR4.
This register controls transition from the Self refresh state.
■1 - Prohibit transition from Self refresh state
■0 - Allow transition from Self refresh state
Value After Reset: 0x0</t>
  </si>
  <si>
    <t>Indicates whether skipping CAM draining is allowed when entering Self-Refresh.
This register field cannot be modified while PWRCTL.selfref_sw==1.
■0 - CAMs must be empty before entering SR
■1 - CAMs are not emptied before entering SR
Value After Reset: 0x0</t>
  </si>
  <si>
    <t>Indicates whether transition from SR-PD to SR and back to SR-PD is allowed.
This register field cannot be modified while PWRCTL.selfref_sw==1.
■0 - SR-PD -&gt; SR -&gt; SR-PD not allowed
■1 - SR-PD -&gt; SR -&gt; SR-PD allowed
Value After Reset: 0x0</t>
  </si>
  <si>
    <t>num_pstat</t>
  </si>
  <si>
    <t>TrainCtrl0</t>
  </si>
  <si>
    <t>#### DDR frequency point0 #####</t>
  </si>
  <si>
    <t>frequency0</t>
  </si>
  <si>
    <t>pllbypass0</t>
  </si>
  <si>
    <t xml:space="preserve">freq0 set    </t>
  </si>
  <si>
    <t xml:space="preserve">freq0 setbit </t>
  </si>
  <si>
    <t xml:space="preserve">freq0 clrbit </t>
  </si>
  <si>
    <t>freq0 chkbit1</t>
  </si>
  <si>
    <t>0x30389808</t>
  </si>
  <si>
    <t xml:space="preserve">0x20      </t>
  </si>
  <si>
    <t xml:space="preserve">0x200     </t>
  </si>
  <si>
    <t xml:space="preserve">0x10      </t>
  </si>
  <si>
    <t>0x01000000</t>
  </si>
  <si>
    <t>#PGC_CPU_MAPPING,disable the clock gating</t>
  </si>
  <si>
    <t>#CCM_TARGET_ROOT_CLR(DRAM_SEL): clear DRAM PLL bypass bit24</t>
  </si>
  <si>
    <t>RC_DERATE_VALUE</t>
  </si>
  <si>
    <t>Derate value of tRC for LPDDR4
■0 - Derating uses +1.
■1 - Derating uses +2.
■2 - Derating uses +3.
■3 - Derating uses +4.
Present only in designs configured to support LPDDR4. The required number of cycles for derating can be determined by dividing 3.75ns by the core_ddrc_core_clk period, and rounding up the next integer.
This value is automatically calculated.</t>
  </si>
  <si>
    <t>DDRC_DERATEEN</t>
  </si>
  <si>
    <t>DERATE_BYTE</t>
  </si>
  <si>
    <t>Indicates which byte of the MRR data is used for derating.
Note, this parameter is automatically configured based on the information provided in the BoardDataBusConfig tab. It is important for the user to correctly configure the BoardDataBusConfig worksheet tab.</t>
  </si>
  <si>
    <t>DERATE_VALUE</t>
  </si>
  <si>
    <t>Derate value
■0 - Derating uses +1.
■1 - Derating uses +2.
For LPDDR4, if the period of core_ddrc_core_clk is less than 1.875ns, this register field should be set to 1; otherwise it should be set to 0.
This value is automatically calculated.</t>
  </si>
  <si>
    <t>DERATE_ENABLE</t>
  </si>
  <si>
    <t>Enables derating
■0 - Timing parameter derating is disabled
■1 - Timing parameter derating is enabled using MR4 read value.
Present only in designs configured to support LPDDR4
This field must be set to '0' for non-LPDDR4 mode</t>
  </si>
  <si>
    <t>MR4_READ_INTERVAL</t>
  </si>
  <si>
    <t>Interval between two MR4 reads, used to derate the timing parameters.
Present only in designs configured to support LPDDR4. This register must not be set to zero.
Unit: DFI clock cycle.
The value used is the JEDEC recommended 32ms interval.</t>
  </si>
  <si>
    <t>DDRC_DERATEINT</t>
  </si>
  <si>
    <t>tWR (automatically calculated based on JEDEC)
Minimum time between write and precharge to same bank.
Unit: Clocks
Specifications: WL + BL/2 + tWR = approximately 8 cycles + 15 ns = 14 clocks @400MHz and less for lower frequencies
where:
■WL = write latency
■BL = burst length. This must match the value programmed in the BL bit of the mode register to the SDRAM. BST (burst terminate) is not supported at present.
■tWR = Write recovery time. This comes directly from the SDRAM specification.
Add one extra cycle for LPDDR2/LPDDR3/LPDDR4 for this parameter.
When the controller is operating in 1:2 frequency ratio mode, 1T mode, divide the above value by 2. No rounding up.
When the controller is operating in 1:2 frequency ratio mode, 2T mode or LPDDR4 mode, divide the above value by 2 and round it up to the next integer value.
Note that, depending on the PHY, if using LRDIMM, it may be necessary to adjust the value of this parameter to compensate for the extra cycle of latency through the LRDIMM.
Value After Reset: 0xf</t>
  </si>
  <si>
    <t>tFAW (in ns) (automatically calculated based on JEDEC)
tFAW Valid only when 8 or more banks(or banks x bank groups) are present.
In 8-bank design, at most 4 banks must be activated in a rolling window of tFAW cycles.
When the controller is operating in 1:2 frequency ratio mode, program this to (tFAW/2) and round up to next integer value.
In a 4-bank design, set this register to 0x1 independent of the 1:1/1:2 frequency mode.
Unit: Clocks
Value After Reset: 0x10</t>
  </si>
  <si>
    <t>tRAS(min) (automatically calculated based on JEDEC)
tRAS(min): Minimum time between activate and precharge to the same bank.
When the controller is operating in 1:2 frequency mode, 1T mode, program this to tRAS(min)/2. No rounding up.
When the controller is operating in 1:2 frequency ratio mode, 2T mode or LPDDR4 mode, program this to (tRAS(min)/2) and round it up to the next integer value.
Unit: Clocks
Value After Reset: 0xf</t>
  </si>
  <si>
    <t>tXP (automatically calculated based on JEDEC)
tXP: Minimum time after power-down exit to any operation. For DDR3, this should be programmed to tXPDLL if slow powerdown exit is selected in MR0[12].
If C/A parity for DDR4 is used, set to (tXP+PL) instead.
If LPDDR4 is selected and its spec has tCKELPD parameter, set to the larger of tXP and tCKELPD instead.
When the controller is operating in 1:2 frequency ratio mode, program this to (tXP/2) and round it up to the next integer value.
Units: Clocks
Value After Reset: 0x8</t>
  </si>
  <si>
    <t>Set to WL (automatically calculated based on JEDEC)
Time from write command to write data on SDRAM interface. This must be set to WL.
For mDDR, it should normally be set to 1.
Note that, depending on the PHY, if using RDIMM/LRDIMM, it may be necessary to adjust the value of WL to compensate for the extra cycle of latency through the RDIMM/LRDIMM.
When the controller is operating in 1:2 frequency ratio mode, divide the value calculated using the above equation by 2, and round it up to next integer.
This register field is not required for DDR2 and DDR3 (except if MEMC_TRAINING is set), as the DFI read and write latencies defined in DFITMG0 and DFITMG1 are sufficient for those protocols
Unit: clocks
Value After Reset: 0x3</t>
  </si>
  <si>
    <t>Set to RL (automatically calculated based on JEDEC)
Time from read command to read data on SDRAM interface. This must be set to RL.
Note that, depending on the PHY, if using RDIMM/LRDIMM, it may be necessary to adjust the value of RL to compensate for the extra cycle of latency through the RDIMM/LRDIMM.
When the controller is operating in 1:2 frequency ratio mode, divide the value calculated using the above equation by 2, and round it up to next integer.
This register field is not required for DDR2 and DDR3 (except if MEMC_TRAINING is set), as the DFI read and write latencies defined in DFITMG0 and DFITMG1 are sufficient for those protocols
Unit: clocks
Value After Reset: 0x5</t>
  </si>
  <si>
    <t>Must supply the tDQSCK_max from the DRAM data sheet for LPDDR4 (automatically calculated based on JEDEC).
DDR2/3/mDDR: RL + BL/2 + 2 - WL
DDR4: RL + BL/2 + 1 + WR_PREAMBLE - WL
LPDDR2/LPDDR3: RL + BL/2 + RU(tDQSCKmax/tCK) + 1 - WL
LPDDR4(DQ ODT is Disabled): RL + BL/2 + RU(tDQSCKmax/tCK) + WR_PREAMBLE + RD_POSTAMBLE - WL
LPDDR4(DQ ODT is Enabled) : RL + BL/2 + RU(tDQSCKmax/tCK) + RD_POSTAMBLE - ODTLon - RU(tODTon(min)/tCK)
Minimum time from read command to write command. Include time for bus turnaround and all per-bank, per-rank, and global constraints. Please see the relevant PHY databook for details of what should be included here.
Unit: Clocks.
Where:
■WL = write latency
■BL = burst length. This must match the value programmed in the BL bit of the mode register to the SDRAM
■RL = read latency = CAS latency
■WR_PREAMBLE = write preamble. This is unique to DDR4 and LPDDR4.
■RD_POSTAMBLE = read postamble. This is unique to LPDDR4.
For LPDDR2/LPDDR3/LPDDR4, if derating is enabled (DERATEEN.derate_enable=1), derated tDQSCKmax should be used.
When the controller is operating in 1:2 frequency ratio mode, divide the value calculated using the above equation by 2, and round it up to next integer.
Note that, depending on the PHY, if using LRDIMM, it may be necessary to adjust the value of this parameter to compensate for the extra cycle of latency through the LRDIMM.
Value After Reset: 0x6</t>
  </si>
  <si>
    <t>tMRD (automatically calculated based on JEDEC).
tMRD: Cycles to wait after a mode register write or read. Depending on the connected SDRAM, tMRD represents:
DDR2/mDDR: Time from MRS to any command
DDR3/4: Time from MRS to MRS command
LPDDR2: not used
LPDDR3/4: Time from MRS to non-MRS command.
When the controller is operating in 1:2 frequency ratio mode, program this to (tMRD/2) and round it up to the next integer value.
If C/A parity for DDR4 is used, set to tMRD_PAR(tMOD+PL) instead.
Value After Reset: 0x4</t>
  </si>
  <si>
    <t>tCCD (automatically calculated based on JEDEC).
DDR4: tCCD_L: This is the minimum time between two reads or two writes for same bank group.
Others: tCCD: This is the minimum time between two reads or two writes.
When the controller is operating in 1:2 frequency ratio mode, program this to (tCCD_L/2 or tCCD/2) and round it up to the next integer value.
Unit: clocks.
Value After Reset: 0x4</t>
  </si>
  <si>
    <t>tRRD (automatically calculated based on JEDEC).
DDR4: tRRD_L: Minimum time between activates from bank "a" to bank "b" for same bank group.
Others: tRRD: Minimum time between activates from bank "a" to bank "b"
When the controller is operating in 1:2 frequency ratio mode, program this to (tRRD_L/2 or tRRD/2) and round it up to the next integer value.
Unit: Clocks.
Value After Reset: 0x4</t>
  </si>
  <si>
    <t>tRPpb (automatically calculated based on JEDEC).
tRP: Minimum time from precharge to activate of same bank.
When the controller is operating in 1:1 frequency ratio mode, t_rp should be set to RoundUp(tRP/tCK).
When the controller is operating in 1:2 frequency ratio mode, t_rp should be set to RoundDown(RoundUp(tRP/tCK)/2) + 1.
When the controller is operating in 1:2 frequency ratio mode in LPDDR4, t_rp should be set to RoundUp(RoundUp(tRP/tCK)/2).
Unit: Clocks.
Value After Reset: 0x5</t>
  </si>
  <si>
    <t>tCKCKEH (automatically calculated based on JEDEC).
This is the time before Self Refresh Exit that CK is maintained as a valid clock before issuing SRX. Specifies the clock stable time before SRX.
Recommended settings:
■mDDR: 1
■LPDDR2: 2
■LPDDR3: 2
■LPDDR4: tCKCKEH
■DDR2: 1
■DDR3: tCKSRX
■DDR4: tCKSRX
When the controller is operating in 1:2 frequency ratio mode, program this to recommended value divided by two and round it up to next integer.
Value After Reset: 0x5</t>
  </si>
  <si>
    <t>tCKELCK (automatically calculated based on JEDEC).
This is the time after Self Refresh Down Entry that CK is maintained as a valid clock. Specifies the clock disable delay after SRE.
Recommended settings:
■mDDR: 0
■LPDDR2: 2
■LPDDR3: 2
■LPDDR4: tCKELCK
■DDR2: 1
■DDR3: max (10 ns, 5 tCK)
■DDR4: max (10 ns, 5 tCK) (+ PL(parity latency)(*))
(*)Only if CRCPARCTL1.caparity_disable_before_sr=0, this register should be increased by PL.
When the controller is operating in 1:2 frequency ratio mode, program this to recommended value divided by two and round it up to next integer.
Value After Reset: 0x5</t>
  </si>
  <si>
    <t>max(tCKE, tSR) (automatically calculated based on JEDEC).
Minimum CKE low width for Self refresh or Self refresh power down entry to exit timing in memory clock cycles.
Recommended settings:
■mDDR: tRFC
■LPDDR2: tCKESR
■LPDDR3: tCKESR
■LPDDR4: max(tCKE, tSR)
tSR: max(15ns, 3tCK)
tCKE: max(7.5ns, 4tCK)
■DDR2: tCKE
■DDR3: tCKE + 1
■DDR4: tCKE + 1 (+ PL(parity latency)(*))
(*)Only if CRCPARCTL1.caparity_disable_before_sr=0, this register should be increased by PL.
When the controller is operating in 1:2 frequency ratio mode, program this to recommended value divided by two and round it up to next integer.
Value After Reset: 0x4</t>
  </si>
  <si>
    <t>max(tCKE, tSR) (automatically calculated based on JEDEC).
Minimum number of cycles of CKE HIGH/LOW during power-down and self refresh.
■LPDDR2/LPDDR3 mode: Set this to the larger of tCKE or tCKESR
■LPDDR4 mode: Set this to the larger of tCKE or tSR.
■Non-LPDDR2/non-LPDDR3/non-LPDDR4 designs: Set this to tCKE value.
When the controller is operating in 1:2 frequency ratio mode, program this to (value described above)/2 and round it up to the next integer value.
Unit: Clocks.
Value After Reset: 0x3</t>
  </si>
  <si>
    <r>
      <rPr>
        <b/>
        <sz val="10"/>
        <color theme="1"/>
        <rFont val="Arial"/>
        <family val="2"/>
      </rPr>
      <t>tZQCAL: 1us (automatically calculated based on JEDEC)</t>
    </r>
    <r>
      <rPr>
        <sz val="10"/>
        <color theme="1"/>
        <rFont val="Arial"/>
        <family val="2"/>
      </rPr>
      <t xml:space="preserve">
tZQoper for DDR3/DDR4, tZQCL for LPDDR2/LPDDR3, tZQCAL for LPDDR4: Number of DFI clock cycles of NOP required after a ZQCL (ZQ calibration long)/MPC(ZQ Start) command is issued to SDRAM.
When the controller is operating in 1:2 frequency ratio mode:
DDR3/DDR4: program this to tZQoper/2 and round it up to the next integer value.
LPDDR2/LPDDR3: program this to tZQCL/2 and round it up to the next integer value.
LPDDR4: program this to tZQCAL/2 and round it up to the next integer value.
This is only present for designs supporting DDR3/DDR4 or LPDDR2/LPDDR3/LPDDR4 devices.
Value After Reset: 0x200</t>
    </r>
  </si>
  <si>
    <r>
      <rPr>
        <b/>
        <sz val="10"/>
        <color theme="1"/>
        <rFont val="Arial"/>
        <family val="2"/>
      </rPr>
      <t>tZQLAT: Max (30ns, 8tCK) (automatically calculated based on JEDEC)</t>
    </r>
    <r>
      <rPr>
        <sz val="10"/>
        <color theme="1"/>
        <rFont val="Arial"/>
        <family val="2"/>
      </rPr>
      <t xml:space="preserve">
tZQCS for DDR3/DD4/LPDDR2/LPDDR3, tZQLAT for LPDDR4: Number of DFI clock cycles of NOP required after a ZQCS (ZQ calibration short)/MPC(ZQ Latch) command is issued to SDRAM.
When the controller is operating in 1:2 frequency ratio mode, program this to tZQCS/2 and round it up to the next integer value.
This is only present for designs supporting DDR3/DDR4 or LPDDR2/LPDDR3/LPDDR4 devices.
Value After Reset: 0x40</t>
    </r>
  </si>
  <si>
    <t>PhyVref</t>
  </si>
  <si>
    <t>■Full bus width mode: Selects the HIF address bit used as column address bit 9.
■Half bus width mode: Selects the HIF address bit used as column address bit 11 (10 in LPDDR2/LPDDR3 mode).
■Quarter bus width mode: Selects the HIF address bit used as column address bit 13 (11 in LPDDR2/LPDDR3 mode).
Valid Range: 0 to 7, x, and 31. x indicate a valid value in inline ECC configuration.
Internal Base: 9
The selected HIF address bit is determined by adding the internal base to the value of this field.
If unused, set to 31 and then this column address bit is set to 0.
Note: Per JEDEC DDR2/3/mDDR specification, column address bit 10 is reserved for indicating auto-precharge, and hence no source address bit can be mapped to column address bit 10.
In LPDDR2/LPDDR3, there is a dedicated bit for auto-precharge in the CA bus and hence column bit 10 is used.
In Inline ECC configuration (MEMC_INLINE_ECC=1) and ECC is enabled (ECCCFG0.ecc_mode&gt;0), the highest 3 column address bits must map to the highest 3 valid HIF address bits.
If column bit 9 is the highest column address bit, it must map to the highest valid HIF address bit. (x = the highest valid HIF address bit - internal base)
If column bit 9 is the second highest column address bit, it must map to the second highest valid HIF address bit. (x = the highest valid HIF address bit - 1 - internal base)
If column bit 9 is the third highest column address bit, it must map to the third highest valid HIF address bit. (x = the highest valid HIF address bit - 2 - internal base)
if it is unused, set to 31.</t>
  </si>
  <si>
    <t>■Full bus width mode: Selects the HIF address bit used as column address bit 8.
■Half bus width mode: Selects the HIF address bit used as column address bit 9.
■Quarter bus width mode: Selects the HIF address bit used as column address bit 11 (10 in LPDDR2/LPDDR3 mode).
Valid Range: 0 to 7, x, and 31. x indicate a valid value in inline ECC configuration.
Internal Base: 8
The selected HIF address bit is determined by adding the internal base to the value of this field.
If unused, set to 31 and then this column address bit is set to 0.
Note: Per JEDEC DDR2/3/mDDR specification, column address bit 10 is reserved for indicating auto-precharge, and hence no source address bit can be mapped to column address bit 10.
In LPDDR2/LPDDR3, there is a dedicated bit for auto-precharge in the CA bus and hence column bit 10 is used.
In Inline ECC configuration (MEMC_INLINE_ECC=1) and ECC is enabled (ECCCFG0.ecc_mode&gt;0), the highest 3 column address bits must map to the highest 3 valid HIF address bits.
If column bit 8 is the second highest column address bit, it must map to the second highest valid HIF address bit. (x = the highest valid HIF address bit - 1 - internal base)
If column bit 8 is the third highest column address bit, it must map to the third highest valid HIF address bit. (x = the highest valid HIF address bit - 2 - internal base)
if it is unused, set to 31.</t>
  </si>
  <si>
    <t>■Full bus width mode: Selects the HIF address bit used as column address bit 7.
■Half bus width mode: Selects the HIF address bit used as column address bit 8.
■Quarter bus width mode: Selects the HIF address bit used as column address bit 9.
Valid Range: 0 to 7, x, and 31. x indicate a valid value in inline ECC configuration.
Internal Base: 7
The selected HIF address bit is determined by adding the internal base to the value of this field. If unused, set to 31 and then this column address bit is set to 0.
In Inline ECC configuration (MEMC_INLINE_ECC=1) and ECC is enabled (ECCCFG0.ecc_mode&gt;0), the highest 3 column address bits must map to the highest 3 valid HIF address bits.
If column bit 7 is the third highest column address bit, it must map to the third highest valid HIF address bit. (x = the highest valid HIF address bit - 2 - internal base)
if it is unused, set to 31.</t>
  </si>
  <si>
    <t>tRCD (automatically calculated based on JEDEC).
tRCD - tAL: Minimum time from activate to read or write command to same bank. Note, for LPDDR4, tAL is not used and is 0, therefore this parameter is based on tRCD only.
When the controller is operating in 1:2 frequency ratio mode, program this to ((tRCD - tAL)/2) and round it up to the next integer value.
Minimum value allowed for this register is 1, which implies minimum (tRCD - tAL) value to be 2 when the controller is operating in 1:2 frequency ratio mode.
Unit: Clocks.
Value After Reset: 0x5</t>
  </si>
  <si>
    <t>tRTP (automatically calculated based on JEDEC)
tRTP: Minimum time from read to precharge of same bank.
■DDR2: tAL + BL/2 + max(tRTP, 2) - 2
■DDR3: tAL + max (tRTP, 4)
■DDR4: Max of following two equations: tAL + max (tRTP, 4) or, RL + BL/2 - tRP (*).
■mDDR: BL/2
■LPDDR2: Depends on if it's LPDDR2-S2 or LPDDR2-S4: LPDDR2-S2: BL/2 + tRTP - 1. LPDDR2-S4: BL/2 + max(tRTP,2) - 2.
■LPDDR3: BL/2 + max(tRTP,4) - 4
■LPDDR4: BL/2 + max(tRTP,8) - 8
(*) When both DDR4 SDRAM and ST-MRAM are used simultaneously, use SDRAM's tRP value for calculation.
When the controller is operating in 1:2 mode, 1T mode, divide the above value by 2. No rounding up.
When the controller is operating in 1:2 mode, 2T mode or LPDDR4 mode, divide the above value by 2 and round it up to the next integer value.
Unit: Clocks.
Value After Reset: 0x4</t>
  </si>
  <si>
    <r>
      <rPr>
        <b/>
        <sz val="10"/>
        <rFont val="Arial"/>
        <family val="2"/>
      </rPr>
      <t>tWTR (automatically calculated based on JEDEC).</t>
    </r>
    <r>
      <rPr>
        <sz val="10"/>
        <rFont val="Arial"/>
        <family val="2"/>
      </rPr>
      <t xml:space="preserve">
DDR4: CWL + PL + BL/2 + tWTR_L
LPDDR2/3/4: WL + BL/2 + tWTR + 1
Others: CWL + BL/2 + tWTR
In DDR4, minimum time from write command to read command for same bank group. In others, minimum time from write command to read command. Includes time for bus turnaround, recovery times, and all per-bank, per-rank, and global constraints.
Unit: Clocks.
Where:
■CWL = CAS write latency
■WL = Write latency
■PL = Parity latency
■BL = burst length. This must match the value programmed in the BL bit of the mode register to the SDRAM
■tWTR_L = internal write to read command delay for same bank group. This comes directly from the SDRAM specification.
■tWTR = internal write to read command delay. This comes directly from the SDRAM specification.
Add one extra cycle for LPDDR2/LPDDR3/LPDDR4 operation.
When the controller is operating in 1:2 mode, divide the value calculated using the above equation by 2, and round it up to next integer.
Value After Reset: 0xd</t>
    </r>
  </si>
  <si>
    <t>Initial value used for VREF. The value is updated following data training.</t>
  </si>
  <si>
    <t># Initial VREF value</t>
  </si>
  <si>
    <t>csPresent</t>
  </si>
  <si>
    <t>Indicates presence of DRAM at each chip select for PHY. (e.g. 0x3 means CS0 and CS1 are used, 0x1 means only CS0 is used)</t>
  </si>
  <si>
    <t xml:space="preserve">Initial </t>
  </si>
  <si>
    <t>DDR3L</t>
  </si>
  <si>
    <t>MT41K256M16TW-107 AAT</t>
  </si>
  <si>
    <t>Number of Chip Selects used2</t>
  </si>
  <si>
    <t>NXP VAL_DDR3L board</t>
  </si>
  <si>
    <t>mr_wr</t>
  </si>
  <si>
    <t>Setting this register bit to 1 triggers a mode register read or write operation. When the MR operation is complete, the uMCTL2 automatically clears this bit. The other register fields of this register must be written in a separate APB transaction, before setting this mr_wr bit. It is recommended NOT to set this signal if in Init, Deep power-down or MPSM operating modes.
Value After Reset: 0x0
Exists: Always
Testable: readOnly
Programming Mode: Dynamic</t>
  </si>
  <si>
    <t>DDRC_MRCTRL0</t>
  </si>
  <si>
    <t>pba_mode</t>
  </si>
  <si>
    <t>Indicates whether PBA access is executed. When setting this bit to 1 along with setting pda_en to 1, uMCTL2 initiates PBA access instead of PDA access.
■0 - Per DRAM Addressability mode
■1 - Per Buffer Addressability mode
The completion of PBA access is confirmed by MRSTAT.pda_done in the same way as PDA.
Value After Reset: 0x0
Exists: MEMC_DDR4==1
Programming Mode: Dynamic</t>
  </si>
  <si>
    <t>mr_cid</t>
  </si>
  <si>
    <t>Chip ID value for Read/Write command during MPR access (DDR4 3DS).
This register must be set to 0 when DDR4 3DS feature is not used.
This register must be set up while the controller is in reset.
Value After Reset: 0x0
Exists: UMCTL2_CID_EN==1
Programming Mode: Static
Range Variable[x]: "UMCTL2_CID_WIDTH" + 15</t>
  </si>
  <si>
    <t>mr_addr</t>
  </si>
  <si>
    <t>Address of the mode register that is to be written to.
■0000 - MR0
■0001 - MR1
■0010 - MR2
■0011 - MR3
■0100 - MR4
■0101 - MR5
■0110 - MR6
■0111 - MR7
Don't Care for LPDDR2/LPDDR3/LPDDR4 (see MRCTRL1.mr_data for mode register addressing in LPDDR2/LPDDR3/LPDDR4)
This signal is also used for writing to control words of the register chip on RDIMMs/LRDIMMs. In that case, it corresponds to the bank address bits sent to the RDIMM/LRDIMM
In case of DDR4, the bit[3:2] corresponds to the bank group bits. Therefore, the bit[3] as well as the bit[2:0] must be set to an appropriate value which is considered both the Address Mirroring of UDIMMs/RDIMMs/LRDIMMs and the Output Inversion of RDIMMs/LRDIMMs.
Value After Reset: 0x0
Exists: Always
Programming Mode: Dynamic</t>
  </si>
  <si>
    <t>mr_rank</t>
  </si>
  <si>
    <r>
      <rPr>
        <b/>
        <sz val="10"/>
        <color theme="1"/>
        <rFont val="Arial"/>
        <family val="2"/>
      </rPr>
      <t>Note, this information is automatically obtained from the Device Information table above.</t>
    </r>
    <r>
      <rPr>
        <sz val="10"/>
        <color theme="1"/>
        <rFont val="Arial"/>
        <family val="2"/>
      </rPr>
      <t xml:space="preserve">
Controls which rank is accessed by MRCTRL0.mr_wr. Normally, it is desired to access all ranks, so all bits should be set to 1. However, for multi-rank UDIMMs/RDIMMs/LRDIMMs which implement address mirroring, it may be necessary to access ranks individually.
Examples (assume uMCTL2 is configured for 4 ranks):
■0x1 - select rank 0 only
■0x2 - select rank 1 only
■0x5 - select ranks 0 and 2
■0xA - select ranks 1 and 3
■0xF - select ranks 0, 1, 2 and 3
Value After Reset: "(MEMC_NUM_RANKS==4) ? 0xF :((MEMC_NUM_RANKS==2) ? 0x3 : 0x1)"
Exists: MEMC_NUM_RANKS_1_OR_2_OR_4==1
Programming Mode: Dynamic
Range Variable[x]: "MEMC_NUM_RANKS" + 3</t>
    </r>
  </si>
  <si>
    <t>sw_init_int</t>
  </si>
  <si>
    <t>Indicates whether Software intervention is allowed via MRCTRL0/MRCTRL1 before automatic SDRAM initialization routine or not.
For DDR4, this bit can be used to initialize the DDR4 RCD (MR7) before automatic SDRAM initialization.
For LPDDR4, this bit can be used to program additional mode registers before automatic SDRAM initialization if necessary.
In LPDDR4 dual channel mode, note that this must be programmed to both channels beforehand.
Note that this must be cleared to 0 after completing Software operation. Otherwise, SDRAM initialization routine will not re-start.
■0 - Software intervention is not allowed
■1 - Software intervention is allowed
Value After Reset: 0x0
Exists: MEMC_DDR4_OR_LPDDR4==1
Programming Mode: Dynamic</t>
  </si>
  <si>
    <t>pda_en</t>
  </si>
  <si>
    <t>Indicates whether the mode register operation is MRS in PDA mode or not
■0 - MRS
■1 - MRS in Per DRAM Addressability mode
Note that when pba_mode=1, PBA access is initiated instead of PDA access.
Value After Reset: 0x0
Exists: MEMC_DDR4==1
Programming Mode: Dynamic</t>
  </si>
  <si>
    <t>mpr_en</t>
  </si>
  <si>
    <t>Indicates whether the mode register operation is MRS or WR/RD for MPR (only supported for DDR4)
■0 - MRS
■1 - WR/RD for MPR
Value After Reset: 0x0
Exists: MEMC_DDR4==1
Programming Mode: Dynamic</t>
  </si>
  <si>
    <t>mr_type</t>
  </si>
  <si>
    <t>Indicates whether the mode register operation is read or write. Only used for LPDDR2/LPDDR3/LPDDR4/DDR4.
■0 - Write
■1 - Read
Value After Reset: 0x0
Exists: MEMC_LPDDR2_OR_DDR4==1
Programming Mode: Dynamic</t>
  </si>
  <si>
    <t>#DDRC_MRCTRL0</t>
  </si>
  <si>
    <t>0x3D400064</t>
  </si>
  <si>
    <t>0x3D4000E4</t>
  </si>
  <si>
    <t>DDRC_INIT5</t>
  </si>
  <si>
    <t>max_auto_init_x1024</t>
  </si>
  <si>
    <t>Maximum duration of the auto initialization, tINIT5. Present only in designs configured to support LPDDR2/LPDDR3.
LPDDR2/LPDDR3 typically requires 10 us.
Unit: 1024 DFI clock cycles.
Value After Reset: "(MEMC_LPDDR2_EN) ? 0x4 : 0x0"
Exists: MEMC_LPDDR2==1
Programming Mode: Static</t>
  </si>
  <si>
    <t>dev_zqinit_x32</t>
  </si>
  <si>
    <t>ZQ initial calibration, tZQINIT. Present only in designs configured to support DDR3 or DDR4 or LPDDR2/LPDDR3.
DDR3 typically requires 512 SDRAM clock cycles.
DDR4 requires 1024 SDRAM clock cycles.
LPDDR2/LPDDR3 requires 1 us.
When the controller is operating in 1:2 frequency ratio mode, program this to JEDEC spec value divided by 2, and round it up to the next integer value.
Unit: 32 DFI clock cycles.
Value After Reset: 0x10
Exists: MEMC_DDR3_OR_4_OR_LPDDR2==1
Programming Mode: Static</t>
  </si>
  <si>
    <t>0x3D4000F0</t>
  </si>
  <si>
    <t>#DDRC_DIMMCTL:[1] dimm_addr_mirr_en, it will effect the MRS if use umctl2 to initi dram.</t>
  </si>
  <si>
    <t>DDRC_DIMMCTL</t>
  </si>
  <si>
    <t>dimm_stagger_cs_en</t>
  </si>
  <si>
    <t>Staggering enable for multi-rank accesses (for multi-rank UDIMM, RDIMM and LRDIMM implementations only). This is not supported for mDDR, LPDDR2, LPDDR3 or LPDDR4 SDRAMs.
Note: Even if this bit is set it does not take care of software driven MR commands (via MRCTRL0/MRCTRL1), where software is responsible to send them to seperate ranks as appropriate.
■1 - (DDR4) Send MRS commands to each ranks seperately
■1 - (non-DDR4) Send all commands to even and odd ranks seperately
■0 - Do not stagger accesses
Value After Reset: 0x0
Exists: Always
Programming Mode: Static</t>
  </si>
  <si>
    <t>dimm_addr_mirr_en</t>
  </si>
  <si>
    <t>Address Mirroring Enable (for multi-rank UDIMM implementations and multi-rank DDR4 RDIMM/LRDIMM implementations).
Some UDIMMs and DDR4 RDIMMs/LRDIMMs implement address mirroring for odd ranks, which means that the following address, bank address and bank group bits are swapped: (A3, A4), (A5, A6), (A7, A8), (BA0, BA1) and also (A11, A13), (BG0, BG1) for the DDR4. Setting this bit ensures that, for mode register accesses during the automatic initialization routine, these bits are swapped within the uMCTL2 to compensate for this UDIMM/RDIMM/LRDIMM swapping. In addition to the automatic initialization routine, in case of DDR4 UDIMM/RDIMM/LRDIMM, they are swapped during the automatic MRS access to enable/disable of a particular DDR4 feature.
Note: This has no effect on the address of any other memory accesses, or of software-driven mode register accesses.
This is not supported for mDDR, LPDDR2, LPDDR3 or LPDDR4 SDRAMs.
Note: In case of x16 DDR4 DIMMs, BG1 output of MRS for the odd ranks is same as BG0 because BG1 is invalid, hence dimm_dis_bg_mirroring register must be set to 1.
■1 - For odd ranks, implement address mirroring for MRS commands to during initialization and for any automatic DDR4 MRS commands (to be used if UDIMM/RDIMM/LRDIMM implements address mirroring)
■0 - Do not implement address mirroring
Value After Reset: 0x0
Exists: Always
Programming Mode: Static</t>
  </si>
  <si>
    <t>0x3D400120</t>
  </si>
  <si>
    <t>DDRC_DRAMTMG8</t>
  </si>
  <si>
    <t>t_xs_x32</t>
  </si>
  <si>
    <t>t_xs_dll_x32</t>
  </si>
  <si>
    <t>tXSDLL: Exit Self Refresh to commands requiring a locked DLL.
When the controller is operating in 1:2 frequency ratio mode, program this to the above value divided by 2 and round up to next integer value.
Unit: Multiples of 32 clocks.
Note: Used only for DDR2, DDR3 and DDR4 SDRAMs.
Value After Reset: 0x44
Exists: Always
Programming Mode: Quasi-dynamic Group 2 and Group 4</t>
  </si>
  <si>
    <t>t_xs_abort_x32</t>
  </si>
  <si>
    <t>tXS_ABORT: Exit Self Refresh to commands not requiring a locked DLL in Self Refresh Abort.
When the controller is operating in 1:2 frequency ratio mode, program this to the above value divided by 2 and round up to next integer value.
Unit: Multiples of 32 clocks.
Note: Ensure this is less than or equal to t_xs_x32.
Value After Reset: 0x3
Exists: MEMC_DDR4==1
Programming Mode: Quasi-dynamic Group 2 and Group 4</t>
  </si>
  <si>
    <t>t_xs_fast_x32</t>
  </si>
  <si>
    <t>tXS_FAST: Exit Self Refresh to ZQCL, ZQCS and MRS (only CL, WR, RTP and Geardown mode).
When the controller is operating in 1:2 frequency ratio mode, program this to the above value divided by 2 and round up to next integer value.
Unit: Multiples of 32 clocks.
Note: This is applicable to only ZQCL/ZQCS commands.
Note: Ensure this is less than or equal to t_xs_x32.
Value After Reset: 0x3
Exists: MEMC_DDR4==1
Programming Mode: Quasi-dynamic Group 2 and Group 4</t>
  </si>
  <si>
    <t>#DDRC_DFILPCFG0</t>
  </si>
  <si>
    <t>dfi_lp_en_pd</t>
  </si>
  <si>
    <t>Enables DFI Low Power interface handshaking during Power Down Entry/Exit.
■0 - Disabled
■1 - Enabled
Value After Reset: 0x0
Exists: Always
Programming Mode: Static</t>
  </si>
  <si>
    <t>dfi_lp_wakeup_pd</t>
  </si>
  <si>
    <t>Value in DFI clock cycles to drive on dfi_lp_wakeup signal when Power Down mode is entered.
Determines the DFI's tlp_wakeup time:
■0x0 - 16 cycles
■0x1 - 32 cycles
■0x2 - 64 cycles
■0x3 - 128 cycles
■0x4 - 256 cycles
■0x5 - 512 cycles
■0x6 - 1024 cycles
■0x7 - 2048 cycles
■0x8 - 4096 cycles
■0x9 - 8192 cycles
■0xA - 16384 cycles
■0xB - 32768 cycles
■0xC - 65536 cycles
■0xD - 131072 cycles
■0xE - 262144 cycles
■0xF - Unlimited
Value After Reset: 0x0
Exists: Always
Programming Mode: Static</t>
  </si>
  <si>
    <t>dfi_lp_en_sr</t>
  </si>
  <si>
    <t>Enables DFI Low Power interface handshaking during Self Refresh Entry/Exit.
■0 - Disabled
■1 - Enabled
Value After Reset: 0x0
Exists: Always
Programming Mode: Static</t>
  </si>
  <si>
    <t>dfi_lp_wakeup_sr</t>
  </si>
  <si>
    <t>dfi_lp_en_dpd</t>
  </si>
  <si>
    <t>Enables DFI Low Power interface handshaking during Deep Power Down Entry/Exit.
■0 - Disabled
■1 - Enabled
This is only present for designs supporting mDDR or LPDDR2/LPDDR3 devices.
Value After Reset: 0x0
Exists: MEMC_MOBILE_OR_LPDDR2==1
Programming Mode: Static</t>
  </si>
  <si>
    <t>dfi_lp_wakeup_dpd</t>
  </si>
  <si>
    <t>dfi_tlp_resp</t>
  </si>
  <si>
    <t>Setting in DFI clock cycles for DFI's tlp_resp time.
Same value is used for both Power Down, Self Refresh, Deep Power Down and Maximum Power Saving modes.
DFI 2.1 specification onwards, recommends using a fixed value of 7 always.
Value After Reset: 0x7
Exists: Always
Programming Mode: Static</t>
  </si>
  <si>
    <t>#DDRC_ADDRMAP2</t>
  </si>
  <si>
    <t>#DDRC_ADDRMAP9 it's valid only when ADDRMAP5.addrmap_row_b2_10 is set to value 15</t>
  </si>
  <si>
    <t>#DDRC_ADDRMAP10 it's valid only when ADDRMAP5.addrmap_row_b2_10 is set to value 15</t>
  </si>
  <si>
    <t xml:space="preserve">#DDRC_ADDRMAP11 </t>
  </si>
  <si>
    <t>DDRC_ADDRMAP2</t>
  </si>
  <si>
    <t>addrmap_col_b2</t>
  </si>
  <si>
    <t>■Full bus width mode: Selects the HIF address bit used as column address bit 2.
■Half bus width mode: Selects the HIF address bit used as column address bit 3.
■Quarter bus width mode: Selects the HIF address bit used as column address bit 4.
Valid Range: 0 to 7
Internal Base: 2
The selected HIF address bit is determined by adding the internal base to the value of this field.
Note, if UMCTL2_INCL_ARB=1 and MEMC_BURST_LENGTH=8, it is required to program this to 0 unless:
■in Half or Quarter bus width (MSTR.data_bus_width!=00) and
■PCCFG.bl_exp_mode==1 and either
■In DDR4 and ADDRMAP8.addrmap_bg_b0==0 or
■In LPDDR4 and ADDRMAP1.addrmap_bank_b0==0
If UMCTL2_INCL_ARB=1 and MEMC_BURST_LENGTH=16, it is required to program this to 0 unless:
■in Half or Quarter bus width (MSTR.data_bus_width!=00) and
■PCCFG.bl_exp_mode==1 and
■In DDR4 and ADDRMAP8.addrmap_bg_b0==0
Otherwise, if MEMC_BURST_LENGTH=8 and Full Bus Width (MSTR.data_bus_width==00), it is recommended to program this to 0 so that HIF[2] maps to column address bit 2.
If MEMC_BURST_LENGTH=16 and Full Bus Width (MSTR.data_bus_width==00), it is recommended to program this to 0 so that HIF[2] maps to column address bit 2.
If MEMC_BURST_LENGTH=16 and Half Bus Width (MSTR.data_bus_width==01), it is recommended to program this to 0 so that HIF[2] maps to column address bit 3.
Value After Reset: 0x0
Exists: Always
Programming Mode: Static</t>
  </si>
  <si>
    <t>addrmap_col_b3</t>
  </si>
  <si>
    <t>addrmap_col_b4</t>
  </si>
  <si>
    <t>addrmap_col_b5</t>
  </si>
  <si>
    <t>■Full bus width mode: Selects the HIF address bit used as column address bit 5.
■Half bus width mode: Selects the HIF address bit used as column address bit 6.
■Quarter bus width mode: Selects the HIF address bit used as column address bit 7 .
Valid Range: 0 to 7, and 15
Internal Base: 5
The selected HIF address bit is determined by adding the internal base to the value of this field. If unused, set to 15 and then this column address bit is set to 0.
Value After Reset: 0x0
Exists: Always
Programming Mode: Static</t>
  </si>
  <si>
    <t>DDRC_ADDRMAP9</t>
  </si>
  <si>
    <t>addrmap_row_b2</t>
  </si>
  <si>
    <t>addrmap_row_b3</t>
  </si>
  <si>
    <t>addrmap_row_b4</t>
  </si>
  <si>
    <t>addrmap_row_b5</t>
  </si>
  <si>
    <t>Selects the HIF address bits used as row address bit 2.
Valid Range: 0 to 11
Internal Base: 8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</si>
  <si>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Selects the HIF address bits used as row address bit 3.
Valid Range: 0 to 11
Internal Base: 9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</si>
  <si>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Selects the HIF address bits used as row address bit 4.
Valid Range: 0 to 11
Internal Base: 10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</si>
  <si>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Selects the HIF address bits used as row address bit 5.
Valid Range: 0 to 11
Internal Base: 11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</si>
  <si>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DDRC_ADDRMAP10</t>
  </si>
  <si>
    <t>addrmap_row_b9</t>
  </si>
  <si>
    <t>addrmap_row_b8</t>
  </si>
  <si>
    <t>addrmap_row_b7</t>
  </si>
  <si>
    <t>addrmap_row_b6</t>
  </si>
  <si>
    <t>Selects the HIF address bits used as row address bit 9.
Valid Range: 0 to 11
Internal Base: 15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</si>
  <si>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Selects the HIF address bits used as row address bit 8.
Valid Range: 0 to 11
Internal Base: 14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</si>
  <si>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Selects the HIF address bits used as row address bit 8.
Valid Range: 0 to 11
Internal Base: 13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</si>
  <si>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Selects the HIF address bits used as row address bit 8.
Valid Range: 0 to 11
Internal Base: 12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</si>
  <si>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DDRC_ADDRMAP11</t>
  </si>
  <si>
    <t>addrmap_row_b10</t>
  </si>
  <si>
    <t>addrmap_cid_b0</t>
  </si>
  <si>
    <t>addrmap_cid_b1</t>
  </si>
  <si>
    <t>Selects the HIF address bit used as chip id bit 1.
Valid Range: 0 to 30
Internal Base: 5
The selected HIF address bit is determined by adding the internal base to the value of this field. If unused, set to 31 and then chip id bit 1 is set to 0.
Value After Reset: 0x0
Exists: UMCTL2_CID_WIDTH&gt;1
Programming Mode: Static</t>
  </si>
  <si>
    <t>Selects the HIF address bit used as chip id bit 0.
Valid Range: 0 to 30
Internal Base: 4
The selected HIF address bit is determined by adding the internal base to the value of this field. If unused, set to 31 and then chip id bit 0 is set to 0.
Value After Reset: 0x0
Exists: UMCTL2_CID_WIDTH&gt;0
Programming Mode: Static</t>
  </si>
  <si>
    <t>Selects the HIF address bits used as row address bit 10.
Valid Range: 0 to 11
Internal Base: 16
The selected HIF address bit for each of the row address bits is determined by adding the internal base to the value of this field. This register field is used only when ADDRMAP5.addrmap_row_b2_10 is set to value 15.
Value After Reset: 0x0
Exists: Always
Programming Mode: Static</t>
  </si>
  <si>
    <t>#DDRC_ODTCFG</t>
  </si>
  <si>
    <t>DDRC_ODTCFG</t>
  </si>
  <si>
    <t>rd_odt_delay</t>
  </si>
  <si>
    <t>The delay, in DFI PHY clock cycles, from issuing a read command to setting ODT values associated with that command. ODT setting must remain constant for the entire time that DQS is driven by the uMCTL2.
Recommended values:
DDR2:
■CL + AL - 4 (not DDR2-1066), CL + AL - 5 (DDR2-1066)
If (CL + AL - 4 &lt; 0), uMCTL2 does not support ODT for read operation.
DDR3:
■CL - CWL
DDR4:
■CL - CWL - RD_PREAMBLE + WR_PREAMBLE + DFITMG1.dfi_t_cmd_lat (to adjust for CAL mode)
WR_PREAMBLE = 1 (1tCK write preamble), 2 (2tCK write preamble)
RD_PREAMBLE = 1 (1tCK write preamble), 2 (2tCK write preamble)
If (CL - CWL - RD_PREAMBLE + WR_PREAMBLE) &lt; 0, uMCTL2 does not support ODT for read operation.
LPDDR3:
■RL + RD(tDQSCK(min)/tCK) - 1 - RU(tODTon(max)/tCK)
Value After Reset: 0x0
Exists: Always
Programming Mode: Quasi-dynamic Group 1 and Group 4</t>
  </si>
  <si>
    <t>rd_odt_hold</t>
  </si>
  <si>
    <t>DFI PHY clock cycles to hold ODT for a read command. The minimum supported value is 2.
Recommended values:
DDR2:
■BL8: 0x6 (not DDR2-1066), 0x7 (DDR2-1066)
■BL4: 0x4 (not DDR2-1066), 0x5 (DDR2-1066)
DDR3:
■BL8 - 0x6
DDR4:
■BL8: 5 + RD_PREAMBLE
RD_PREAMBLE = 1 (1tCK write preamble), 2 (2tCK write preamble)
LPDDR3:
■BL8: 5 + RU(tDQSCK(max)/tCK) - RD(tDQSCK(min)/tCK) + RU(tODTon(max)/tCK)
Value After Reset: 0x4
Exists: Always
Programming Mode: Quasi-dynamic Group 1 and Group 4</t>
  </si>
  <si>
    <t>The delay, in DFI PHY clock cycles, from issuing a write command to setting ODT values associated with that command. ODT setting must remain constant for the entire time that DQS is driven by the uMCTL2.
Recommended values:
DDR2:
■CWL + AL - 3 (DDR2-400/533/667), CWL + AL - 4 (DDR2-800), CWL + AL - 5 (DDR2-1066)
If (CWL + AL - 3 &lt; 0), uMCTL2 does not support ODT for write operation.
DDR3:
■0x0
DDR4:
■DFITMG1.dfi_t_cmd_lat (to adjust for CAL mode)
LPDDR3:
■WL - 1 - RU(tODTon(max)/tCK))
Value After Reset: 0x0
Exists: Always
Programming Mode: Quasi-dynamic Group 1 and Group 4</t>
  </si>
  <si>
    <t>wr_odt_delay</t>
  </si>
  <si>
    <t>wr_odt_hold</t>
  </si>
  <si>
    <t>DFI PHY clock cycles to hold ODT for a write command. The minimum supported value is 2.
Recommended values:
DDR2:
■BL8: 0x5 (DDR2-400/533/667), 0x6 (DDR2-800), 0x7 (DDR2-1066)
■BL4: 0x3 (DDR2-400/533/667), 0x4 (DDR2-800), 0x5 (DDR2-1066)
DDR3:
■BL8: 0x6
DDR4:
■BL8: 5 + WR_PREAMBLE + CRC_MODE
WR_PREAMBLE = 1 (1tCK write preamble), 2 (2tCK write preamble)
CRC_MODE = 0 (not CRC mode), 1 (CRC mode)
LPDDR3:
■BL8: 7 + RU(tODTon(max)/tCK)
Value After Reset: 0x4
Exists: Always
Programming Mode: Quasi-dynamic Group 1 and Group 4</t>
  </si>
  <si>
    <r>
      <rPr>
        <b/>
        <sz val="10"/>
        <color theme="1"/>
        <rFont val="Arial"/>
        <family val="2"/>
      </rPr>
      <t>Note, user must supply tRFC (min) (in ns) from the DRAM data sheet</t>
    </r>
    <r>
      <rPr>
        <sz val="10"/>
        <color theme="1"/>
        <rFont val="Arial"/>
        <family val="2"/>
      </rPr>
      <t xml:space="preserve">
tRFC (min): Minimum time from refresh to refresh or activate.
When the controller is operating in 1:1 mode, t_rfc_min should be set to RoundUp(tRFCmin/tCK).
When the controller is operating in 1:2 mode, t_rfc_min should be set to RoundUp(RoundUp(tRFCmin/tCK)/2).
In LPDDR2/LPDDR3/LPDDR4 mode:
■if using all-bank refreshes, the tRFCmin value in the above equations is equal to tRFCab
■if using per-bank refreshes, the tRFCmin value in the above equations is equal to tRFCpb
In DDR4 mode, the tRFCmin value in the above equations is different depending on the refresh mode (fixed 1X,2X,4X) and the device density. The user should program the appropriate value from the spec based on the 'refresh_mode' and the device density that is used.
Unit: Clocks.
Value After Reset: 0x8c
Exists: Always
Programming Mode: Dynamic - Refresh Related</t>
    </r>
  </si>
  <si>
    <t>DRAM density per chip (Gb)</t>
  </si>
  <si>
    <r>
      <t>Density per CS (Gb)</t>
    </r>
    <r>
      <rPr>
        <vertAlign val="superscript"/>
        <sz val="10"/>
        <rFont val="Arial"/>
        <family val="2"/>
      </rPr>
      <t>1</t>
    </r>
    <r>
      <rPr>
        <sz val="10"/>
        <rFont val="Arial"/>
        <family val="2"/>
      </rPr>
      <t>:</t>
    </r>
  </si>
  <si>
    <t>MR0
DDR3: PD Value loaded into MR0 register.</t>
  </si>
  <si>
    <t>MR0
DDR3: WR Value loaded into MR0 register.</t>
  </si>
  <si>
    <r>
      <rPr>
        <b/>
        <sz val="10"/>
        <rFont val="Arial"/>
        <family val="2"/>
      </rPr>
      <t>DDR3L MR0:</t>
    </r>
    <r>
      <rPr>
        <sz val="10"/>
        <rFont val="Arial"/>
        <family val="2"/>
      </rPr>
      <t xml:space="preserve">
Write-Recovery for Auto-Pre-charge commands
000B: nWR = 16 (default)
001B: nWR = 5
010B: nWR = 6
011B: nWR = 7
100B: nWR = 8
101B: nWR = 10
110B: nWR = 12
111B: nWR = 14
This setting is automatically calculated.</t>
    </r>
  </si>
  <si>
    <t>MR0
DDR3: DLL Value loaded into MR0 register.</t>
  </si>
  <si>
    <r>
      <rPr>
        <b/>
        <sz val="10"/>
        <rFont val="Arial"/>
        <family val="2"/>
      </rPr>
      <t>DDR3L MR0:</t>
    </r>
    <r>
      <rPr>
        <sz val="10"/>
        <rFont val="Arial"/>
        <family val="2"/>
      </rPr>
      <t xml:space="preserve">
DLL reset - set to 1 to reset DLL; self clearing</t>
    </r>
  </si>
  <si>
    <t>MR0
DDR3: BT Value loaded into MR0 register.</t>
  </si>
  <si>
    <r>
      <rPr>
        <b/>
        <sz val="10"/>
        <rFont val="Arial"/>
        <family val="2"/>
      </rPr>
      <t>DDR3L MR0:</t>
    </r>
    <r>
      <rPr>
        <sz val="10"/>
        <rFont val="Arial"/>
        <family val="2"/>
      </rPr>
      <t xml:space="preserve">
Burst Type - set to 0.</t>
    </r>
  </si>
  <si>
    <t>MR0
DDR3: CL(M6) Value loaded into MR0 register.</t>
  </si>
  <si>
    <r>
      <t xml:space="preserve">DDR3L MR0:
</t>
    </r>
    <r>
      <rPr>
        <sz val="10"/>
        <rFont val="Arial"/>
        <family val="2"/>
      </rPr>
      <t>CAS Latency
0001B: CL = 12
0010B: CL = 5
0011B: CL = 13
0100B: CL = 6
0101B: CL = 14
0110B: CL = 7
1000B: CL = 8
1010B: CL = 9
1100B: CL = 10
1110B: CL = 11
This setting is automatically calculated.</t>
    </r>
  </si>
  <si>
    <t>MR0
DDR3: CL(M5) Value loaded into MR0 register.</t>
  </si>
  <si>
    <t>MR0
DDR3: CL(M4) Value loaded into MR0 register.</t>
  </si>
  <si>
    <t>MR0
DDR3: CL(M2) Value loaded into MR0 register.</t>
  </si>
  <si>
    <r>
      <rPr>
        <b/>
        <sz val="10"/>
        <rFont val="Arial"/>
        <family val="2"/>
      </rPr>
      <t>DDR3L MR0:</t>
    </r>
    <r>
      <rPr>
        <sz val="10"/>
        <rFont val="Arial"/>
        <family val="2"/>
      </rPr>
      <t xml:space="preserve">
Burst Length
00B: BL=8 (default)
All Others: Reserved</t>
    </r>
  </si>
  <si>
    <t>MR1
DDR3: Q Value loaded into MR1 register.</t>
  </si>
  <si>
    <r>
      <rPr>
        <b/>
        <sz val="10"/>
        <rFont val="Arial"/>
        <family val="2"/>
      </rPr>
      <t>DDR3L MR1:</t>
    </r>
    <r>
      <rPr>
        <sz val="10"/>
        <rFont val="Arial"/>
        <family val="2"/>
      </rPr>
      <t xml:space="preserve">
Q Off- set to 0 for normal operations</t>
    </r>
  </si>
  <si>
    <t>MR1
DDR3: TDQS Value loaded into MR1 register.</t>
  </si>
  <si>
    <r>
      <rPr>
        <b/>
        <sz val="10"/>
        <rFont val="Arial"/>
        <family val="2"/>
      </rPr>
      <t>DDR3L MR1:</t>
    </r>
    <r>
      <rPr>
        <sz val="10"/>
        <rFont val="Arial"/>
        <family val="2"/>
      </rPr>
      <t xml:space="preserve">
Termination data strobe (TDQS) is a function of the x8 DDR3 SDRAM configuration; set to 0 for x16 and x32 memories</t>
    </r>
  </si>
  <si>
    <t>MR1
DDR3: RTT (M9) Value loaded into MR1 register.</t>
  </si>
  <si>
    <r>
      <t xml:space="preserve">DDR3L MR1:
</t>
    </r>
    <r>
      <rPr>
        <sz val="10"/>
        <rFont val="Arial"/>
        <family val="2"/>
      </rPr>
      <t>On-Die Termination (ODT) Resistance RTT
000B: Disabled
001B: RZQ/4 = 60 Ohms
010B: RZQ/2 = 120 Ohms
011B: RZQ/6 = 40 Ohms
100B: RZQ/12 = 20 Ohms
101B: RZQ/8 = 30 Ohms
110B: Reserved
111B: Reserved</t>
    </r>
  </si>
  <si>
    <t>MR1
DDR3: RTT (M6) Value loaded into MR1 register.</t>
  </si>
  <si>
    <t>MR1
DDR3: RTT (M2) Value loaded into MR1 register.</t>
  </si>
  <si>
    <t>MR1
DDR3: WL Enable loaded into MR1 register.</t>
  </si>
  <si>
    <r>
      <rPr>
        <b/>
        <sz val="10"/>
        <rFont val="Arial"/>
        <family val="2"/>
      </rPr>
      <t>DDR3L MR1:</t>
    </r>
    <r>
      <rPr>
        <sz val="10"/>
        <rFont val="Arial"/>
        <family val="2"/>
      </rPr>
      <t xml:space="preserve">
Write leveling enable - set to 0 for normal operation</t>
    </r>
  </si>
  <si>
    <t>MR1
DDR3: ODS (M5) Value loaded into MR1 register.</t>
  </si>
  <si>
    <r>
      <rPr>
        <b/>
        <sz val="10"/>
        <rFont val="Arial"/>
        <family val="2"/>
      </rPr>
      <t>DDR3L MR1:</t>
    </r>
    <r>
      <rPr>
        <sz val="10"/>
        <rFont val="Arial"/>
        <family val="2"/>
      </rPr>
      <t xml:space="preserve">
Device Output Drive Strength
00B: RZQ/6 = 40 Ohms
01B: RZQ/7 = 34 Ohms
11B: Reserved
11B: Reserved</t>
    </r>
  </si>
  <si>
    <t>MR1
DDR3: ODS (M1) Value loaded into MR1 register.</t>
  </si>
  <si>
    <t>MR1
DDR3: AL Value loaded into MR1 register.</t>
  </si>
  <si>
    <r>
      <rPr>
        <b/>
        <sz val="10"/>
        <rFont val="Arial"/>
        <family val="2"/>
      </rPr>
      <t>DDR3L MR1:</t>
    </r>
    <r>
      <rPr>
        <sz val="10"/>
        <rFont val="Arial"/>
        <family val="2"/>
      </rPr>
      <t xml:space="preserve">
AL: Additive Latency, set to 0 (recommended setting)</t>
    </r>
  </si>
  <si>
    <t>MR1
DDR3: DLL Value loaded into MR1 register.</t>
  </si>
  <si>
    <r>
      <rPr>
        <b/>
        <sz val="10"/>
        <rFont val="Arial"/>
        <family val="2"/>
      </rPr>
      <t>DDR3L MR1:</t>
    </r>
    <r>
      <rPr>
        <sz val="10"/>
        <rFont val="Arial"/>
        <family val="2"/>
      </rPr>
      <t xml:space="preserve">
DLL Enable - set to 0 (enable)</t>
    </r>
  </si>
  <si>
    <r>
      <rPr>
        <b/>
        <sz val="10"/>
        <rFont val="Arial"/>
        <family val="2"/>
      </rPr>
      <t xml:space="preserve">DDR3L MR0:
</t>
    </r>
    <r>
      <rPr>
        <sz val="10"/>
        <rFont val="Arial"/>
        <family val="2"/>
      </rPr>
      <t>0 FOR Slow exit (DLL off)
1 for Fast exit (DLL on)</t>
    </r>
  </si>
  <si>
    <r>
      <rPr>
        <b/>
        <sz val="10"/>
        <rFont val="Arial"/>
        <family val="2"/>
      </rPr>
      <t>MR2</t>
    </r>
    <r>
      <rPr>
        <sz val="10"/>
        <rFont val="Arial"/>
        <family val="2"/>
      </rPr>
      <t xml:space="preserve">
DDR3 MR2: RTT</t>
    </r>
  </si>
  <si>
    <r>
      <t xml:space="preserve">DDR3 MR2:
</t>
    </r>
    <r>
      <rPr>
        <sz val="10"/>
        <rFont val="Arial"/>
        <family val="2"/>
      </rPr>
      <t>Dynamic ODT (RTT(WR))</t>
    </r>
    <r>
      <rPr>
        <b/>
        <sz val="10"/>
        <rFont val="Arial"/>
        <family val="2"/>
      </rPr>
      <t xml:space="preserve">
</t>
    </r>
    <r>
      <rPr>
        <sz val="10"/>
        <rFont val="Arial"/>
        <family val="2"/>
      </rPr>
      <t>00B : Disabled
01B : RZQ/4 = 60 Ohms
10B : RZQ/2 = 120 Ohms
11B : Reserved</t>
    </r>
  </si>
  <si>
    <r>
      <rPr>
        <b/>
        <sz val="10"/>
        <rFont val="Arial"/>
        <family val="2"/>
      </rPr>
      <t>MR2</t>
    </r>
    <r>
      <rPr>
        <sz val="10"/>
        <rFont val="Arial"/>
        <family val="2"/>
      </rPr>
      <t xml:space="preserve">
DDR3 MR2: SRT</t>
    </r>
  </si>
  <si>
    <r>
      <t xml:space="preserve">DDR3 MR2:
</t>
    </r>
    <r>
      <rPr>
        <sz val="10"/>
        <rFont val="Arial"/>
        <family val="2"/>
      </rPr>
      <t>SRT: Self Refresh Temperature</t>
    </r>
    <r>
      <rPr>
        <b/>
        <sz val="10"/>
        <rFont val="Arial"/>
        <family val="2"/>
      </rPr>
      <t xml:space="preserve">
</t>
    </r>
    <r>
      <rPr>
        <sz val="10"/>
        <rFont val="Arial"/>
        <family val="2"/>
      </rPr>
      <t>0B:Normal (default)
1B: Extended (&gt; 85C)</t>
    </r>
  </si>
  <si>
    <r>
      <rPr>
        <b/>
        <sz val="10"/>
        <rFont val="Arial"/>
        <family val="2"/>
      </rPr>
      <t>MR2</t>
    </r>
    <r>
      <rPr>
        <sz val="10"/>
        <rFont val="Arial"/>
        <family val="2"/>
      </rPr>
      <t xml:space="preserve">
DDR3 MR2: ASR</t>
    </r>
  </si>
  <si>
    <r>
      <t xml:space="preserve">DDR3 MR2:
</t>
    </r>
    <r>
      <rPr>
        <sz val="10"/>
        <rFont val="Arial"/>
        <family val="2"/>
      </rPr>
      <t>ASR: Auto Self Refresh
0B:Disabled (default)
1B: Enabled (Automatic)</t>
    </r>
  </si>
  <si>
    <r>
      <t xml:space="preserve">MR2
</t>
    </r>
    <r>
      <rPr>
        <sz val="10"/>
        <rFont val="Arial"/>
        <family val="2"/>
      </rPr>
      <t>DDR3</t>
    </r>
    <r>
      <rPr>
        <b/>
        <sz val="10"/>
        <rFont val="Arial"/>
        <family val="2"/>
      </rPr>
      <t>:</t>
    </r>
    <r>
      <rPr>
        <sz val="10"/>
        <rFont val="Arial"/>
        <family val="2"/>
      </rPr>
      <t xml:space="preserve"> CWL</t>
    </r>
  </si>
  <si>
    <r>
      <t xml:space="preserve">LPDDR4 MR3:
</t>
    </r>
    <r>
      <rPr>
        <sz val="10"/>
        <rFont val="Arial"/>
        <family val="2"/>
      </rPr>
      <t>CWL: CAS Write Latency
000B: WL = 5
001B: WL = 6
010B: WL = 7
011B: WL = 8
100B: WL = 9
101B: WL = 10
110B: Reserved
111B: Reserved
This Field is automatically calculated</t>
    </r>
  </si>
  <si>
    <r>
      <t xml:space="preserve">MR3
</t>
    </r>
    <r>
      <rPr>
        <sz val="10"/>
        <rFont val="Arial"/>
        <family val="2"/>
      </rPr>
      <t>DDR3</t>
    </r>
    <r>
      <rPr>
        <b/>
        <sz val="10"/>
        <rFont val="Arial"/>
        <family val="2"/>
      </rPr>
      <t>:</t>
    </r>
    <r>
      <rPr>
        <sz val="10"/>
        <rFont val="Arial"/>
        <family val="2"/>
      </rPr>
      <t xml:space="preserve"> MPR Enable</t>
    </r>
  </si>
  <si>
    <r>
      <t xml:space="preserve">DDR3 MR3:
</t>
    </r>
    <r>
      <rPr>
        <sz val="10"/>
        <rFont val="Arial"/>
        <family val="2"/>
      </rPr>
      <t>MPR Enable</t>
    </r>
    <r>
      <rPr>
        <b/>
        <sz val="10"/>
        <rFont val="Arial"/>
        <family val="2"/>
      </rPr>
      <t xml:space="preserve">
</t>
    </r>
    <r>
      <rPr>
        <sz val="10"/>
        <rFont val="Arial"/>
        <family val="2"/>
      </rPr>
      <t>0B : Normal Operations(default)
1B : Dataflow from MPR</t>
    </r>
  </si>
  <si>
    <r>
      <t xml:space="preserve">MR3
</t>
    </r>
    <r>
      <rPr>
        <sz val="10"/>
        <rFont val="Arial"/>
        <family val="2"/>
      </rPr>
      <t>DDR3</t>
    </r>
    <r>
      <rPr>
        <b/>
        <sz val="10"/>
        <rFont val="Arial"/>
        <family val="2"/>
      </rPr>
      <t>:</t>
    </r>
    <r>
      <rPr>
        <sz val="10"/>
        <rFont val="Arial"/>
        <family val="2"/>
      </rPr>
      <t xml:space="preserve"> MPR_RF</t>
    </r>
  </si>
  <si>
    <r>
      <t xml:space="preserve">DDR3 MR3:
</t>
    </r>
    <r>
      <rPr>
        <sz val="10"/>
        <rFont val="Arial"/>
        <family val="2"/>
      </rPr>
      <t>MPR_RF
00B: Normal Operation (default)
01B - 11B: Reserved</t>
    </r>
  </si>
  <si>
    <t>DRAM Page Szie</t>
  </si>
  <si>
    <t>tRPab (automatically calculated based on JEDEC). This will then get added (automatically) to tRAS. 
tRC: Minimum time between activates to same bank.
When the controller is operating in 1:2 frequency ratio mode, program this to (tRC/2) and round up to next integer value.
Unit: Clocks.
Value After Reset: 0x14
Exists: Always
Programming Mode: Quasi-dynamic Group 2 and Group 4</t>
  </si>
  <si>
    <t>Time to wait after a mode register write or read (MRW or MRR).
Present only in designs configured to support LPDDR2, LPDDR3 or LPDDR4.
LPDDR2 typically requires value of 5.
LPDDR3 typically requires value of 10.
LPDDR4: Set this to the larger of tMRW and tMRWCKEL.
For LPDDR2, this register is used for the time from a MRW/MRR to all other commands.
When the controller is operating in 1:2 frequency ratio mode, program this to the above values divided by 2 and round it up to the next integer value.
For LDPDR3, this register is used for the time from a MRW/MRR to a MRW/MRR.
Value After Reset: "(MEMC_LPDDR2_EN==1) ? 0x5 : 0x0"
Exists: MEMC_LPDDR2==1
Programming Mode: Quasi-dynamic Group 2 and Group 4</t>
  </si>
  <si>
    <t>■1 - Disable issuing of ZQCL command at Maximum Power Saving Mode exit. Only applicable when run in DDR4 mode.
■0 - Enable issuing of ZQCL command at Maximum Power Saving Mode exit. Only applicable when run in DDR4 mode.
This is only present for designs supporting DDR4 devices. Note: Do not issue ZQCL command at Maximum Power Save Mode exit if the UMCTL2_SHARED_AC configuration parameter is set. Program it to 1'b1. The software can send ZQCS after exiting MPSM mode.
Value After Reset: 0x0
Exists: MEMC_DDR4==1
Programming Mode: Static</t>
  </si>
  <si>
    <t>tZQReset: Number of DFI clock cycles of NOP required after a ZQReset (ZQ calibration Reset) command is issued to SDRAM.
When the controller is operating in 1:2 frequency ratio mode, program this to tZQReset/2 and round it up to the next integer value.
This is only present for designs supporting LPDDR2/LPDDR3/LPDDR4 devices.
Value After Reset: 0x20
Exists: MEMC_LPDDR2==1
Programming Mode: Static
Value After Reset: 0x20</t>
  </si>
  <si>
    <t>#DDRC_PWRCTL: selfref_sw=1, entry self refresh</t>
  </si>
  <si>
    <t>0x00000020</t>
  </si>
  <si>
    <t>#DDRC_RFSHTMG</t>
  </si>
  <si>
    <t>#DDRC_DDR_DFIMISC</t>
  </si>
  <si>
    <t>data_width</t>
  </si>
  <si>
    <t>#16bit or 32bit only</t>
  </si>
  <si>
    <t xml:space="preserve">#Indicates presence of DRAM at each chip select for PHY. </t>
  </si>
  <si>
    <t>#If the bit is set to 1, the CS is connected to DRAM.</t>
  </si>
  <si>
    <t>#If the bit is set to 0, the CS is not connected to DRAM.</t>
  </si>
  <si>
    <t xml:space="preserve"> #Set CsPresent[0]   = 1 (if CS0 is populated with DRAM)</t>
  </si>
  <si>
    <t xml:space="preserve"> #Set CsPresent[1]   = 1 (if CS1 is populated with DRAM)</t>
  </si>
  <si>
    <t>rdODT0</t>
  </si>
  <si>
    <t>rdODT1</t>
  </si>
  <si>
    <t>rdODT2</t>
  </si>
  <si>
    <t>rdODT3</t>
  </si>
  <si>
    <t>wrODT0</t>
  </si>
  <si>
    <t>wrODT1</t>
  </si>
  <si>
    <t>wrODT2</t>
  </si>
  <si>
    <t>wrODT3</t>
  </si>
  <si>
    <t>addrMirror</t>
  </si>
  <si>
    <t xml:space="preserve"># Corresponds to CS[3:0] </t>
  </si>
  <si>
    <t># 1 = Address Mirror.</t>
  </si>
  <si>
    <t># 0 = No Address Mirror.</t>
  </si>
  <si>
    <t>#up to support 4 frequencies (Hardware Fast Frequency Change)</t>
  </si>
  <si>
    <t>0x031f</t>
  </si>
  <si>
    <t>MR0</t>
  </si>
  <si>
    <t>TxImpedance</t>
  </si>
  <si>
    <t>extCalRes</t>
  </si>
  <si>
    <t>WDQSExt</t>
  </si>
  <si>
    <t>SlewRiseDQ</t>
  </si>
  <si>
    <t>SlewFallDQ</t>
  </si>
  <si>
    <t>SlewFallAC</t>
  </si>
  <si>
    <t>SlewRiseAC</t>
  </si>
  <si>
    <t>CaliOnce</t>
  </si>
  <si>
    <t>#DDRC_INIT5</t>
    <phoneticPr fontId="25" type="noConversion"/>
  </si>
  <si>
    <t>#DDRC_DRAMTMG0</t>
    <phoneticPr fontId="25" type="noConversion"/>
  </si>
  <si>
    <t xml:space="preserve">#DDRC_DRAMTMG5 </t>
    <phoneticPr fontId="25" type="noConversion"/>
  </si>
  <si>
    <t xml:space="preserve">#DDRC_DRAMTMG8 </t>
    <phoneticPr fontId="25" type="noConversion"/>
  </si>
  <si>
    <t>#DDRC_ZQCTL1</t>
    <phoneticPr fontId="25" type="noConversion"/>
  </si>
  <si>
    <r>
      <rPr>
        <b/>
        <sz val="10"/>
        <color theme="1"/>
        <rFont val="Arial"/>
        <family val="2"/>
      </rPr>
      <t>Note, user must supply tREFI (in ns) from the DRAM data sheet, see description for more details.</t>
    </r>
    <r>
      <rPr>
        <sz val="10"/>
        <color theme="1"/>
        <rFont val="Arial"/>
        <family val="2"/>
      </rPr>
      <t xml:space="preserve">
tREFI: Average time interval between refreshes per rank (Specification: 7.8us for DDR2, DDR3 and DDR4. See JEDEC specification for mDDR, LPDDR2, LPDDR3 and LPDDR4).
For LPDDR2/LPDDR3/LPDDR4:
</t>
    </r>
    <r>
      <rPr>
        <sz val="10"/>
        <color theme="1"/>
        <rFont val="宋体"/>
        <family val="3"/>
        <charset val="134"/>
      </rPr>
      <t>■</t>
    </r>
    <r>
      <rPr>
        <sz val="10"/>
        <color theme="1"/>
        <rFont val="Arial"/>
        <family val="2"/>
      </rPr>
      <t xml:space="preserve">if using all-bank refreshes (RFSHCTL0.per_bank_refresh = 0), this register should be set to tREFIab
</t>
    </r>
    <r>
      <rPr>
        <sz val="10"/>
        <color theme="1"/>
        <rFont val="宋体"/>
        <family val="3"/>
        <charset val="134"/>
      </rPr>
      <t>■</t>
    </r>
    <r>
      <rPr>
        <sz val="10"/>
        <color theme="1"/>
        <rFont val="Arial"/>
        <family val="2"/>
      </rPr>
      <t xml:space="preserve">if using per-bank refreshes (RFSHCTL0.per_bank_refresh = 1), this register should be set to tREFIpb
When the controller is operating in 1:2 frequency ratio mode, program this to (tREFI/2), no rounding up.
In DDR4 mode, tREFI value is different depending on the refresh mode. The user should program the appropriate value from the spec based on the value programmed in the refresh mode register.
Note that RFSHTMG.t_rfc_nom_x32 * 32 must be greater than RFSHTMG.t_rfc_min, and RFSHTMG.t_rfc_nom_x32 must be greater than 0x1.
</t>
    </r>
    <r>
      <rPr>
        <sz val="10"/>
        <color theme="1"/>
        <rFont val="宋体"/>
        <family val="3"/>
        <charset val="134"/>
      </rPr>
      <t>■</t>
    </r>
    <r>
      <rPr>
        <sz val="10"/>
        <color theme="1"/>
        <rFont val="Arial"/>
        <family val="2"/>
      </rPr>
      <t xml:space="preserve">Non-DDR4 or DDR4 Fixed 1x mode: RFSHTMG.t_rfc_nom_x32 must be less than or equal to 0xFFE.
</t>
    </r>
    <r>
      <rPr>
        <sz val="10"/>
        <color theme="1"/>
        <rFont val="宋体"/>
        <family val="3"/>
        <charset val="134"/>
      </rPr>
      <t>■</t>
    </r>
    <r>
      <rPr>
        <sz val="10"/>
        <color theme="1"/>
        <rFont val="Arial"/>
        <family val="2"/>
      </rPr>
      <t xml:space="preserve">DDR4 Fixed 2x mode: RFSHTMG.t_rfc_nom_x32 must be less than or equal to 0x7FF.
</t>
    </r>
    <r>
      <rPr>
        <sz val="10"/>
        <color theme="1"/>
        <rFont val="宋体"/>
        <family val="3"/>
        <charset val="134"/>
      </rPr>
      <t>■</t>
    </r>
    <r>
      <rPr>
        <sz val="10"/>
        <color theme="1"/>
        <rFont val="Arial"/>
        <family val="2"/>
      </rPr>
      <t>DDR4 Fixed 4x mode: RFSHTMG.t_rfc_nom_x32 must be less than or equal to 0x3FF.
Unit: Multiples of 32 clocks.
Value After Reset: 0x62
Exists: Always
Programming Mode: Dynamic - Refresh Related</t>
    </r>
    <phoneticPr fontId="1" type="noConversion"/>
  </si>
  <si>
    <r>
      <t xml:space="preserve">Description: If lower bit is enabled the SDRAM initialization routine is skipped. The upper bit decides what state the controller starts up in when reset is removed
</t>
    </r>
    <r>
      <rPr>
        <sz val="10"/>
        <color theme="1"/>
        <rFont val="宋体"/>
        <family val="3"/>
        <charset val="134"/>
      </rPr>
      <t>■</t>
    </r>
    <r>
      <rPr>
        <sz val="10"/>
        <color theme="1"/>
        <rFont val="Arial"/>
        <family val="2"/>
      </rPr>
      <t xml:space="preserve"> 00 - SDRAM Initialization routine is run after power-up
</t>
    </r>
    <r>
      <rPr>
        <sz val="10"/>
        <color theme="1"/>
        <rFont val="宋体"/>
        <family val="3"/>
        <charset val="134"/>
      </rPr>
      <t>■</t>
    </r>
    <r>
      <rPr>
        <sz val="10"/>
        <color theme="1"/>
        <rFont val="Arial"/>
        <family val="2"/>
      </rPr>
      <t xml:space="preserve"> 01 - SDRAM Initialization routine is skipped after power-up. Controller starts up in Normal Mode
</t>
    </r>
    <r>
      <rPr>
        <sz val="10"/>
        <color theme="1"/>
        <rFont val="宋体"/>
        <family val="3"/>
        <charset val="134"/>
      </rPr>
      <t>■</t>
    </r>
    <r>
      <rPr>
        <sz val="10"/>
        <color theme="1"/>
        <rFont val="Arial"/>
        <family val="2"/>
      </rPr>
      <t xml:space="preserve"> 11 - SDRAM Initialization routine is skipped after power-up. Controller starts up in Self-refresh Mode
</t>
    </r>
    <r>
      <rPr>
        <sz val="10"/>
        <color theme="1"/>
        <rFont val="宋体"/>
        <family val="3"/>
        <charset val="134"/>
      </rPr>
      <t>■</t>
    </r>
    <r>
      <rPr>
        <sz val="10"/>
        <color theme="1"/>
        <rFont val="Arial"/>
        <family val="2"/>
      </rPr>
      <t xml:space="preserve"> 10 - SDRAM Initialization routine is run after power-up.
Value After Reset: 0x0</t>
    </r>
    <phoneticPr fontId="1" type="noConversion"/>
  </si>
  <si>
    <r>
      <rPr>
        <sz val="10"/>
        <color theme="1"/>
        <rFont val="宋体"/>
        <family val="3"/>
        <charset val="134"/>
      </rPr>
      <t>■</t>
    </r>
    <r>
      <rPr>
        <sz val="10"/>
        <color theme="1"/>
        <rFont val="Arial"/>
        <family val="2"/>
      </rPr>
      <t xml:space="preserve">Full bus width mode: Selects the HIF address bit used as column address bit 3.
</t>
    </r>
    <r>
      <rPr>
        <sz val="10"/>
        <color theme="1"/>
        <rFont val="宋体"/>
        <family val="3"/>
        <charset val="134"/>
      </rPr>
      <t>■</t>
    </r>
    <r>
      <rPr>
        <sz val="10"/>
        <color theme="1"/>
        <rFont val="Arial"/>
        <family val="2"/>
      </rPr>
      <t xml:space="preserve">Half bus width mode: Selects the HIF address bit used as column address bit 4.
</t>
    </r>
    <r>
      <rPr>
        <sz val="10"/>
        <color theme="1"/>
        <rFont val="宋体"/>
        <family val="3"/>
        <charset val="134"/>
      </rPr>
      <t>■</t>
    </r>
    <r>
      <rPr>
        <sz val="10"/>
        <color theme="1"/>
        <rFont val="Arial"/>
        <family val="2"/>
      </rPr>
      <t>Quarter bus width mode: Selects the HIF address bit used as column address bit 5.
Valid Range: 0 to 7
Internal Base: 3
The selected HIF address bit is determined by adding the internal base to the value of this field.
Note, if UMCTL2_INCL_ARB=1, MEMC_BURST_LENGTH=16, Full bus width (MSTR.data_bus_width=00) and BL16 (MSTR.burst_rdwr=1000), it is recommended to program this to 0.
Value After Reset: 0x0
Exists: Always
Programming Mode: Static</t>
    </r>
    <phoneticPr fontId="1" type="noConversion"/>
  </si>
  <si>
    <r>
      <rPr>
        <sz val="10"/>
        <color theme="1"/>
        <rFont val="宋体"/>
        <family val="3"/>
        <charset val="134"/>
      </rPr>
      <t>■</t>
    </r>
    <r>
      <rPr>
        <sz val="10"/>
        <color theme="1"/>
        <rFont val="Arial"/>
        <family val="2"/>
      </rPr>
      <t xml:space="preserve">Full bus width mode: Selects the HIF address bit used as column address bit 4.
</t>
    </r>
    <r>
      <rPr>
        <sz val="10"/>
        <color theme="1"/>
        <rFont val="宋体"/>
        <family val="3"/>
        <charset val="134"/>
      </rPr>
      <t>■</t>
    </r>
    <r>
      <rPr>
        <sz val="10"/>
        <color theme="1"/>
        <rFont val="Arial"/>
        <family val="2"/>
      </rPr>
      <t xml:space="preserve">Half bus width mode: Selects the HIF address bit used as column address bit 5.
</t>
    </r>
    <r>
      <rPr>
        <sz val="10"/>
        <color theme="1"/>
        <rFont val="宋体"/>
        <family val="3"/>
        <charset val="134"/>
      </rPr>
      <t>■</t>
    </r>
    <r>
      <rPr>
        <sz val="10"/>
        <color theme="1"/>
        <rFont val="Arial"/>
        <family val="2"/>
      </rPr>
      <t>Quarter bus width mode: Selects the HIF address bit used as column address bit 6.
Valid Range: 0 to 7, and 15
Internal Base: 4
The selected HIF address bit is determined by adding the internal base to the value of this field. If unused, set to 15 and then this column address bit is set to 0.
Value After Reset: 0x0
Exists: Always
Programming Mode: Static</t>
    </r>
    <phoneticPr fontId="1" type="noConversion"/>
  </si>
  <si>
    <t>MR0</t>
    <phoneticPr fontId="1" type="noConversion"/>
  </si>
  <si>
    <t>MR1</t>
    <phoneticPr fontId="1" type="noConversion"/>
  </si>
  <si>
    <t>MR2</t>
    <phoneticPr fontId="1" type="noConversion"/>
  </si>
  <si>
    <t>#DDRC_DRAMTMG1</t>
    <phoneticPr fontId="25" type="noConversion"/>
  </si>
  <si>
    <t>DDRC_DFILPCFG0</t>
    <phoneticPr fontId="1" type="noConversion"/>
  </si>
  <si>
    <r>
      <t xml:space="preserve">Value in DFI clock cycles to drive on dfi_lp_wakeup signal when Deep Power Down mode is entered.
Determines the DFI's tlp_wakeup time:
</t>
    </r>
    <r>
      <rPr>
        <sz val="10"/>
        <rFont val="宋体"/>
        <family val="3"/>
        <charset val="134"/>
      </rPr>
      <t>■</t>
    </r>
    <r>
      <rPr>
        <sz val="10"/>
        <rFont val="Arial"/>
        <family val="2"/>
      </rPr>
      <t xml:space="preserve">0x0 - 16 cycles
</t>
    </r>
    <r>
      <rPr>
        <sz val="10"/>
        <rFont val="宋体"/>
        <family val="3"/>
        <charset val="134"/>
      </rPr>
      <t>■</t>
    </r>
    <r>
      <rPr>
        <sz val="10"/>
        <rFont val="Arial"/>
        <family val="2"/>
      </rPr>
      <t xml:space="preserve">0x1 - 32 cycles
</t>
    </r>
    <r>
      <rPr>
        <sz val="10"/>
        <rFont val="宋体"/>
        <family val="3"/>
        <charset val="134"/>
      </rPr>
      <t>■</t>
    </r>
    <r>
      <rPr>
        <sz val="10"/>
        <rFont val="Arial"/>
        <family val="2"/>
      </rPr>
      <t xml:space="preserve">0x2 - 64 cycles
</t>
    </r>
    <r>
      <rPr>
        <sz val="10"/>
        <rFont val="宋体"/>
        <family val="3"/>
        <charset val="134"/>
      </rPr>
      <t>■</t>
    </r>
    <r>
      <rPr>
        <sz val="10"/>
        <rFont val="Arial"/>
        <family val="2"/>
      </rPr>
      <t xml:space="preserve">0x3 - 128 cycles
</t>
    </r>
    <r>
      <rPr>
        <sz val="10"/>
        <rFont val="宋体"/>
        <family val="3"/>
        <charset val="134"/>
      </rPr>
      <t>■</t>
    </r>
    <r>
      <rPr>
        <sz val="10"/>
        <rFont val="Arial"/>
        <family val="2"/>
      </rPr>
      <t xml:space="preserve">0x4 - 256 cycles
</t>
    </r>
    <r>
      <rPr>
        <sz val="10"/>
        <rFont val="宋体"/>
        <family val="3"/>
        <charset val="134"/>
      </rPr>
      <t>■</t>
    </r>
    <r>
      <rPr>
        <sz val="10"/>
        <rFont val="Arial"/>
        <family val="2"/>
      </rPr>
      <t xml:space="preserve">0x5 - 512 cycles
</t>
    </r>
    <r>
      <rPr>
        <sz val="10"/>
        <rFont val="宋体"/>
        <family val="3"/>
        <charset val="134"/>
      </rPr>
      <t>■</t>
    </r>
    <r>
      <rPr>
        <sz val="10"/>
        <rFont val="Arial"/>
        <family val="2"/>
      </rPr>
      <t xml:space="preserve">0x6 - 1024 cycles
</t>
    </r>
    <r>
      <rPr>
        <sz val="10"/>
        <rFont val="宋体"/>
        <family val="3"/>
        <charset val="134"/>
      </rPr>
      <t>■</t>
    </r>
    <r>
      <rPr>
        <sz val="10"/>
        <rFont val="Arial"/>
        <family val="2"/>
      </rPr>
      <t xml:space="preserve">0x7 - 2048 cycles
</t>
    </r>
    <r>
      <rPr>
        <sz val="10"/>
        <rFont val="宋体"/>
        <family val="3"/>
        <charset val="134"/>
      </rPr>
      <t>■</t>
    </r>
    <r>
      <rPr>
        <sz val="10"/>
        <rFont val="Arial"/>
        <family val="2"/>
      </rPr>
      <t xml:space="preserve">0x8 - 4096 cycles
</t>
    </r>
    <r>
      <rPr>
        <sz val="10"/>
        <rFont val="宋体"/>
        <family val="3"/>
        <charset val="134"/>
      </rPr>
      <t>■</t>
    </r>
    <r>
      <rPr>
        <sz val="10"/>
        <rFont val="Arial"/>
        <family val="2"/>
      </rPr>
      <t xml:space="preserve">0x9 - 8192 cycles
</t>
    </r>
    <r>
      <rPr>
        <sz val="10"/>
        <rFont val="宋体"/>
        <family val="3"/>
        <charset val="134"/>
      </rPr>
      <t>■</t>
    </r>
    <r>
      <rPr>
        <sz val="10"/>
        <rFont val="Arial"/>
        <family val="2"/>
      </rPr>
      <t xml:space="preserve">0xA - 16384 cycles
</t>
    </r>
    <r>
      <rPr>
        <sz val="10"/>
        <rFont val="宋体"/>
        <family val="3"/>
        <charset val="134"/>
      </rPr>
      <t>■</t>
    </r>
    <r>
      <rPr>
        <sz val="10"/>
        <rFont val="Arial"/>
        <family val="2"/>
      </rPr>
      <t xml:space="preserve">0xB - 32768 cycles
</t>
    </r>
    <r>
      <rPr>
        <sz val="10"/>
        <rFont val="宋体"/>
        <family val="3"/>
        <charset val="134"/>
      </rPr>
      <t>■</t>
    </r>
    <r>
      <rPr>
        <sz val="10"/>
        <rFont val="Arial"/>
        <family val="2"/>
      </rPr>
      <t xml:space="preserve">0xC - 65536 cycles
</t>
    </r>
    <r>
      <rPr>
        <sz val="10"/>
        <rFont val="宋体"/>
        <family val="3"/>
        <charset val="134"/>
      </rPr>
      <t>■</t>
    </r>
    <r>
      <rPr>
        <sz val="10"/>
        <rFont val="Arial"/>
        <family val="2"/>
      </rPr>
      <t xml:space="preserve">0xD - 131072 cycles
</t>
    </r>
    <r>
      <rPr>
        <sz val="10"/>
        <rFont val="宋体"/>
        <family val="3"/>
        <charset val="134"/>
      </rPr>
      <t>■</t>
    </r>
    <r>
      <rPr>
        <sz val="10"/>
        <rFont val="Arial"/>
        <family val="2"/>
      </rPr>
      <t xml:space="preserve">0xE - 262144 cycles
</t>
    </r>
    <r>
      <rPr>
        <sz val="10"/>
        <rFont val="宋体"/>
        <family val="3"/>
        <charset val="134"/>
      </rPr>
      <t>■</t>
    </r>
    <r>
      <rPr>
        <sz val="10"/>
        <rFont val="Arial"/>
        <family val="2"/>
      </rPr>
      <t>0xF - Unlimited
This is only present for designs supporting mDDR or LPDDR2/LPDDR3 devices.
Value After Reset: 0x0
Exists: MEMC_MOBILE_OR_LPDDR2==1
Programming Mode: Static</t>
    </r>
    <phoneticPr fontId="1" type="noConversion"/>
  </si>
  <si>
    <r>
      <t xml:space="preserve">Value in DFI clpck cycles to drive on dfi_lp_wakeup signal when Self Refresh mode is entered.
Determines the DFI's tlp_wakeup time:
</t>
    </r>
    <r>
      <rPr>
        <sz val="10"/>
        <rFont val="宋体"/>
        <family val="3"/>
        <charset val="134"/>
      </rPr>
      <t>■</t>
    </r>
    <r>
      <rPr>
        <sz val="10"/>
        <rFont val="Arial"/>
        <family val="2"/>
      </rPr>
      <t xml:space="preserve">0x0 - 16 cycles
</t>
    </r>
    <r>
      <rPr>
        <sz val="10"/>
        <rFont val="宋体"/>
        <family val="3"/>
        <charset val="134"/>
      </rPr>
      <t>■</t>
    </r>
    <r>
      <rPr>
        <sz val="10"/>
        <rFont val="Arial"/>
        <family val="2"/>
      </rPr>
      <t xml:space="preserve">0x1 - 32 cycles
</t>
    </r>
    <r>
      <rPr>
        <sz val="10"/>
        <rFont val="宋体"/>
        <family val="3"/>
        <charset val="134"/>
      </rPr>
      <t>■</t>
    </r>
    <r>
      <rPr>
        <sz val="10"/>
        <rFont val="Arial"/>
        <family val="2"/>
      </rPr>
      <t xml:space="preserve">0x2 - 64 cycles
</t>
    </r>
    <r>
      <rPr>
        <sz val="10"/>
        <rFont val="宋体"/>
        <family val="3"/>
        <charset val="134"/>
      </rPr>
      <t>■</t>
    </r>
    <r>
      <rPr>
        <sz val="10"/>
        <rFont val="Arial"/>
        <family val="2"/>
      </rPr>
      <t xml:space="preserve">0x3 - 128 cycles
</t>
    </r>
    <r>
      <rPr>
        <sz val="10"/>
        <rFont val="宋体"/>
        <family val="3"/>
        <charset val="134"/>
      </rPr>
      <t>■</t>
    </r>
    <r>
      <rPr>
        <sz val="10"/>
        <rFont val="Arial"/>
        <family val="2"/>
      </rPr>
      <t xml:space="preserve">0x4 - 256 cycles
</t>
    </r>
    <r>
      <rPr>
        <sz val="10"/>
        <rFont val="宋体"/>
        <family val="3"/>
        <charset val="134"/>
      </rPr>
      <t>■</t>
    </r>
    <r>
      <rPr>
        <sz val="10"/>
        <rFont val="Arial"/>
        <family val="2"/>
      </rPr>
      <t xml:space="preserve">0x5 - 512 cycles
</t>
    </r>
    <r>
      <rPr>
        <sz val="10"/>
        <rFont val="宋体"/>
        <family val="3"/>
        <charset val="134"/>
      </rPr>
      <t>■</t>
    </r>
    <r>
      <rPr>
        <sz val="10"/>
        <rFont val="Arial"/>
        <family val="2"/>
      </rPr>
      <t xml:space="preserve">0x6 - 1024 cycles
</t>
    </r>
    <r>
      <rPr>
        <sz val="10"/>
        <rFont val="宋体"/>
        <family val="3"/>
        <charset val="134"/>
      </rPr>
      <t>■</t>
    </r>
    <r>
      <rPr>
        <sz val="10"/>
        <rFont val="Arial"/>
        <family val="2"/>
      </rPr>
      <t xml:space="preserve">0x7 - 2048 cycles
</t>
    </r>
    <r>
      <rPr>
        <sz val="10"/>
        <rFont val="宋体"/>
        <family val="3"/>
        <charset val="134"/>
      </rPr>
      <t>■</t>
    </r>
    <r>
      <rPr>
        <sz val="10"/>
        <rFont val="Arial"/>
        <family val="2"/>
      </rPr>
      <t xml:space="preserve">0x8 - 4096 cycles
</t>
    </r>
    <r>
      <rPr>
        <sz val="10"/>
        <rFont val="宋体"/>
        <family val="3"/>
        <charset val="134"/>
      </rPr>
      <t>■</t>
    </r>
    <r>
      <rPr>
        <sz val="10"/>
        <rFont val="Arial"/>
        <family val="2"/>
      </rPr>
      <t xml:space="preserve">0x9 - 8192 cycles
</t>
    </r>
    <r>
      <rPr>
        <sz val="10"/>
        <rFont val="宋体"/>
        <family val="3"/>
        <charset val="134"/>
      </rPr>
      <t>■</t>
    </r>
    <r>
      <rPr>
        <sz val="10"/>
        <rFont val="Arial"/>
        <family val="2"/>
      </rPr>
      <t xml:space="preserve">0xA - 16384 cycles
</t>
    </r>
    <r>
      <rPr>
        <sz val="10"/>
        <rFont val="宋体"/>
        <family val="3"/>
        <charset val="134"/>
      </rPr>
      <t>■</t>
    </r>
    <r>
      <rPr>
        <sz val="10"/>
        <rFont val="Arial"/>
        <family val="2"/>
      </rPr>
      <t xml:space="preserve">0xB - 32768 cycles
</t>
    </r>
    <r>
      <rPr>
        <sz val="10"/>
        <rFont val="宋体"/>
        <family val="3"/>
        <charset val="134"/>
      </rPr>
      <t>■</t>
    </r>
    <r>
      <rPr>
        <sz val="10"/>
        <rFont val="Arial"/>
        <family val="2"/>
      </rPr>
      <t xml:space="preserve">0xC - 65536 cycles
</t>
    </r>
    <r>
      <rPr>
        <sz val="10"/>
        <rFont val="宋体"/>
        <family val="3"/>
        <charset val="134"/>
      </rPr>
      <t>■</t>
    </r>
    <r>
      <rPr>
        <sz val="10"/>
        <rFont val="Arial"/>
        <family val="2"/>
      </rPr>
      <t xml:space="preserve">0xD - 131072 cycles
</t>
    </r>
    <r>
      <rPr>
        <sz val="10"/>
        <rFont val="宋体"/>
        <family val="3"/>
        <charset val="134"/>
      </rPr>
      <t>■</t>
    </r>
    <r>
      <rPr>
        <sz val="10"/>
        <rFont val="Arial"/>
        <family val="2"/>
      </rPr>
      <t xml:space="preserve">0xE - 262144 cycles
</t>
    </r>
    <r>
      <rPr>
        <sz val="10"/>
        <rFont val="宋体"/>
        <family val="3"/>
        <charset val="134"/>
      </rPr>
      <t>■</t>
    </r>
    <r>
      <rPr>
        <sz val="10"/>
        <rFont val="Arial"/>
        <family val="2"/>
      </rPr>
      <t>0xF - Unlimited
Value After Reset: 0x0
Exists: Always
Programming Mode: Static</t>
    </r>
    <phoneticPr fontId="1" type="noConversion"/>
  </si>
  <si>
    <t>0x2c</t>
    <phoneticPr fontId="1" type="noConversion"/>
  </si>
  <si>
    <t>1. Important: it is necessary to populate this field with the density in Gbits as it is used in later calculations. This field is cacluated from the previous two fields. The user can also simply type in the total density as well in this field.</t>
    <phoneticPr fontId="1" type="noConversion"/>
  </si>
  <si>
    <t>#DDRC_INIT3</t>
    <phoneticPr fontId="25" type="noConversion"/>
  </si>
  <si>
    <t>Delete DDRC_ADDRMAP7 and DDRC_ADDRMAP8;
Change W_DRAM_PLL_CFG2_ADDR to 0x00bbe582</t>
    <phoneticPr fontId="25" type="noConversion"/>
  </si>
  <si>
    <t>Address Mirroring Enable</t>
  </si>
  <si>
    <t>The user can adjust the following parameters based on their SI simulation results.</t>
    <phoneticPr fontId="1" type="noConversion"/>
  </si>
  <si>
    <t>Write Driver Impedance for Address/Command (AC) bus in ohmaddress/command bus</t>
    <phoneticPr fontId="1" type="noConversion"/>
  </si>
  <si>
    <t>Desired ODT impedance in Ohm</t>
    <phoneticPr fontId="1" type="noConversion"/>
  </si>
  <si>
    <t>Write Driver Impedance for DQ/DQS in ohm</t>
    <phoneticPr fontId="1" type="noConversion"/>
  </si>
  <si>
    <r>
      <t xml:space="preserve">Indicates the configuration of the device used in the system.
</t>
    </r>
    <r>
      <rPr>
        <sz val="10"/>
        <rFont val="宋体"/>
        <family val="3"/>
        <charset val="134"/>
      </rPr>
      <t>■</t>
    </r>
    <r>
      <rPr>
        <sz val="10"/>
        <rFont val="Arial"/>
        <family val="2"/>
      </rPr>
      <t xml:space="preserve"> 00 - x4 device
</t>
    </r>
    <r>
      <rPr>
        <sz val="10"/>
        <rFont val="宋体"/>
        <family val="3"/>
        <charset val="134"/>
      </rPr>
      <t>■</t>
    </r>
    <r>
      <rPr>
        <sz val="10"/>
        <rFont val="Arial"/>
        <family val="2"/>
      </rPr>
      <t xml:space="preserve"> 01 - x8 device
</t>
    </r>
    <r>
      <rPr>
        <sz val="10"/>
        <rFont val="宋体"/>
        <family val="3"/>
        <charset val="134"/>
      </rPr>
      <t>■</t>
    </r>
    <r>
      <rPr>
        <sz val="10"/>
        <rFont val="Arial"/>
        <family val="2"/>
      </rPr>
      <t xml:space="preserve"> 10 - x16 device
</t>
    </r>
    <r>
      <rPr>
        <sz val="10"/>
        <rFont val="宋体"/>
        <family val="3"/>
        <charset val="134"/>
      </rPr>
      <t>■</t>
    </r>
    <r>
      <rPr>
        <sz val="10"/>
        <rFont val="Arial"/>
        <family val="2"/>
      </rPr>
      <t xml:space="preserve"> 11 - x32 device
Value After Reset: 0x0
Exists: MEMC_DDR4==1
Programming Mode: Static</t>
    </r>
    <phoneticPr fontId="1" type="noConversion"/>
  </si>
  <si>
    <t>Update multi registers</t>
    <phoneticPr fontId="25" type="noConversion"/>
  </si>
  <si>
    <t>0x3D40049C</t>
  </si>
  <si>
    <t>0x00100001</t>
  </si>
  <si>
    <t xml:space="preserve">#DDRC_PCFGWQOS0_0 </t>
  </si>
  <si>
    <t>0x3D4004A0</t>
  </si>
  <si>
    <t>0x0000041f</t>
  </si>
  <si>
    <t xml:space="preserve">#DDRC_PCFGWQOS1_0 </t>
  </si>
  <si>
    <t>0x3D400264</t>
  </si>
  <si>
    <t>0x00000009</t>
  </si>
  <si>
    <t>#DDRC_PERFLPR1</t>
  </si>
  <si>
    <t>0x3D400060</t>
  </si>
  <si>
    <t>0x000001</t>
  </si>
  <si>
    <t>#DDRC_RFSHCTL3---dis_auto_refresh</t>
  </si>
  <si>
    <t>#SRC_DDRC_RCR_ADDR---RESET DDRC</t>
  </si>
  <si>
    <t>#DDRC_SWCTL: sw_done=0, enable quasi-dynamic programming</t>
  </si>
  <si>
    <t>0x3d400490</t>
  </si>
  <si>
    <t>#DDRC_PCTRL</t>
  </si>
  <si>
    <t>0x000000a8</t>
  </si>
  <si>
    <t>#DDRC_PWRCTL: selfref_sw=1, self-refresh</t>
  </si>
  <si>
    <t>0x8F000004</t>
    <phoneticPr fontId="25" type="noConversion"/>
  </si>
  <si>
    <t>#SRC_DDRC_RCR_ADDR</t>
    <phoneticPr fontId="25" type="noConversion"/>
  </si>
  <si>
    <t xml:space="preserve">memory chkbit1 </t>
    <phoneticPr fontId="25" type="noConversion"/>
  </si>
  <si>
    <t xml:space="preserve">0x3d400308 </t>
    <phoneticPr fontId="25" type="noConversion"/>
  </si>
  <si>
    <t>0x36000000</t>
    <phoneticPr fontId="25" type="noConversion"/>
  </si>
  <si>
    <t>#DDRC_DBGCAM: wait empty</t>
    <phoneticPr fontId="25" type="noConversion"/>
  </si>
  <si>
    <t xml:space="preserve">memory chkbit0 </t>
    <phoneticPr fontId="25" type="noConversion"/>
  </si>
  <si>
    <t xml:space="preserve">0x3d4003fc </t>
    <phoneticPr fontId="25" type="noConversion"/>
  </si>
  <si>
    <t>0x10001</t>
    <phoneticPr fontId="25" type="noConversion"/>
  </si>
  <si>
    <t>#DDRC_PSTAT</t>
    <phoneticPr fontId="25" type="noConversion"/>
  </si>
  <si>
    <t>memory chkbit1</t>
    <phoneticPr fontId="25" type="noConversion"/>
  </si>
  <si>
    <t>0x3d400004</t>
    <phoneticPr fontId="25" type="noConversion"/>
  </si>
  <si>
    <t>#DDRC_STAT: wait for selfrefres is done</t>
    <phoneticPr fontId="25" type="noConversion"/>
  </si>
  <si>
    <t>0x0000003</t>
    <phoneticPr fontId="25" type="noConversion"/>
  </si>
  <si>
    <t># For frequencies other than 800Mhz, it is up to the user to create the appropriate register setting for the desired frequency.</t>
  </si>
  <si>
    <t># The RPA provides the HW_DRAM_PLL_CFG2_ADDR register (0x30360068) setting for 800Mhz (0x00bbe58), as well as a few other frequency examples.</t>
  </si>
  <si>
    <t>For selecting various DDR PLL frequencies in the Register Configuration tab Device Information table, the user can input any frequency, but must determine the proper register programming value for the PLL in the DDR stress test file tab.</t>
  </si>
  <si>
    <t xml:space="preserve"> #Set CsPresent[7:2] = 0 (Reserved; must be programmed to 0)</t>
  </si>
  <si>
    <t xml:space="preserve">Fixed DDR stress test file worksheet for csPresent (now it is linked to the setting in the Register Configuration worksheet). Also, IP vendor ticket STAR 9001091272 dictates that we should set DRAMTMG8.t_xs_x32 = DRAMTMG8.t_xs_dll_x32 to avoid timing violations from SRX to PDE in DDR3.  </t>
  </si>
  <si>
    <t>yes</t>
  </si>
  <si>
    <t>Internal factory use only: Apply workaround for STAR 9001091272 uMCTL2 can Violate Timing from SRX to PDE in DDR3</t>
  </si>
  <si>
    <t>tXS: Exit Self Refresh to commands not requiring a locked DLL.
When the controller is operating in 1:2 frequency ratio mode, program this to the above value divided by 2 and round up to next integer value.
Unit: Multiples of 32 clocks.
Note: Used only for DDR2, DDR3 and DDR4 SDRAMs.
Value After Reset: 0x5
Exists: Always
Programming Mode: Quasi-dynamic Group 2 and Group 4
STAR 9001091272 may apply where IP vendor dictates DRAMTMG8.t_xs_x32 = DRAMTMG8.t_xs_dll_x32; this tool automatically takes care of this.</t>
  </si>
  <si>
    <t>Added UART configuration to stress test file script.</t>
  </si>
  <si>
    <r>
      <rPr>
        <b/>
        <sz val="10"/>
        <rFont val="Arial"/>
        <family val="2"/>
      </rPr>
      <t>Debug UART port</t>
    </r>
    <r>
      <rPr>
        <sz val="10"/>
        <rFont val="Arial"/>
        <family val="2"/>
      </rPr>
      <t xml:space="preserve">
Assumes use UART pad for UART function, not mux'd on other pads</t>
    </r>
  </si>
  <si>
    <t>################step 0: configure debug uart port. Assumes use of UART IO Pads.   #####</t>
  </si>
  <si>
    <t>##### If using non-UART pads (i.e. using other pads to mux out the UART signals), #####</t>
  </si>
  <si>
    <t>##### then it is up to the user to overwrite the following IO register settings   #####</t>
  </si>
  <si>
    <t xml:space="preserve">0x00000000 </t>
  </si>
  <si>
    <t>0x0000000E</t>
  </si>
  <si>
    <t xml:space="preserve">sysparam set </t>
  </si>
  <si>
    <t xml:space="preserve">debug_uart </t>
  </si>
  <si>
    <t>#UART index from 0 ('0' = UART1, '1' = UART2, '2' = UART3, '3' = UART4)</t>
  </si>
  <si>
    <t xml:space="preserve">There are also other options to enable or disable, and settings to choose as shown below: </t>
  </si>
  <si>
    <t>Note: changes to the Register Configuration worksheet are automatically updated in the DDR stress test file worksheet tab described next.</t>
  </si>
  <si>
    <r>
      <t>The following refers to the "</t>
    </r>
    <r>
      <rPr>
        <i/>
        <sz val="11"/>
        <rFont val="Calibri"/>
        <family val="2"/>
      </rPr>
      <t>DDR stress test file</t>
    </r>
    <r>
      <rPr>
        <sz val="11"/>
        <rFont val="Calibri"/>
        <family val="2"/>
      </rPr>
      <t>" Worksheet tab.  In this tab, the entire DRAM initialization  can be obtained.  This initialization can be used with the DDR Stress Test tool.</t>
    </r>
  </si>
  <si>
    <t>Step 4. Go to the "DDR stress test file" Worksheet tab and copy and paste this into a text document (make sure to rename the document with a “.ds” file ending); this is ready to use with the DDR Stress Test. See additional note below.</t>
  </si>
  <si>
    <t xml:space="preserve">
It is important that the user must make sure to copy all of the contents from the DDR stress test file worksheet tab.  One recommended method to ensure that all of the contents are selected before copying is to click on the arrow in the upper left hand corner of this sheet between row 1 and column A as shown below.    
</t>
  </si>
  <si>
    <t>Simplified naming of this tool. The How To Use worksheet was also updated to more accurately describe how to use this tool.</t>
  </si>
  <si>
    <t xml:space="preserve">Disabled DDRC_DFIPHYMSTR.DFI_PHYMSTR_EN as it is not used for DDR3L PHY firmware.  </t>
  </si>
  <si>
    <t>Address mirroring must be enabled for dual-rank designs in which the address mirroring mapping scheme was implemented and the following pairs of address bits are swapped for the memory devices that are connected to CS1: (A3, A4), (A5, A6), (A7, A8), (BA0, BA1). Otherwise, address mirroring must be disabled. Note, in single-rank designs (only one chip select used), this would be a don't care.</t>
  </si>
  <si>
    <t># Formula is DDR_freq = [REF/(DIVR1+1)*2*(DIVF1+1)/(DIVR2+1)*(DIVF2+1)*2/2/(DIVQ+1)] x 2</t>
  </si>
  <si>
    <t>Updated the informative formula for calculation of the DDR clock frequency in the DDR strest test file tab to include the offset between the register and PLL divider values. Updated the note for the Address mirroring feature in the Register Configuration tab to explain in more detail in what situations it needs to be enabled or disabled.</t>
  </si>
  <si>
    <t>Allowed values for the number of row, column and address bits restricted to supported ranges.</t>
  </si>
  <si>
    <t>DRAM Bus Width per chip</t>
  </si>
  <si>
    <t>Bus Width</t>
  </si>
  <si>
    <t>i.MX side DQ ODT setting</t>
  </si>
  <si>
    <t>i.MX side DQ bus driver strength setting</t>
  </si>
  <si>
    <t>- removed Note 3 from the "Register Configuration -&gt; Device configuration" section since it was reffering to a different SoC.
-  "ATxImpedance", "ODTImpedance" and "TxImpedance" fields located at top of the "Register Configuration" page renamed to "i.MX side address bus driver strength setting", "i.MX side DQ ODT setting" and "i.MX side DQ bus driver strength setting" to avoid duplicates, which prevented correct tokenization of the spreadsheet for extended use with DDR Tools. No functional impact on the DDR configuration.
- setting of DDRC_MSTR.FREQUENCY_MODE changed from 0 to 1 since this setting should be used when multiple frequency setpoints are supported. No functional impact since this register is correctly being set also by ATF.</t>
  </si>
  <si>
    <t>i.MX side address bus driver strength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</si>
</sst>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name val="Arial"/>
    </font>
    <font>
      <sz val="8"/>
      <name val="Arial"/>
      <family val="2"/>
    </font>
    <font>
      <b/>
      <sz val="10"/>
      <name val="Arial"/>
      <family val="2"/>
    </font>
    <font>
      <sz val="10"/>
      <name val="Arial"/>
      <family val="2"/>
    </font>
    <font>
      <b/>
      <sz val="12"/>
      <name val="Arial"/>
      <family val="2"/>
    </font>
    <font>
      <b/>
      <sz val="24"/>
      <name val="Arial"/>
      <family val="2"/>
    </font>
    <font>
      <b/>
      <sz val="28"/>
      <name val="Arial"/>
      <family val="2"/>
    </font>
    <font>
      <sz val="11"/>
      <color rgb="FF3F3F76"/>
      <name val="Calibri"/>
      <family val="2"/>
      <scheme val="minor"/>
    </font>
    <font>
      <b/>
      <sz val="10"/>
      <color theme="1"/>
      <name val="Arial"/>
      <family val="2"/>
    </font>
    <font>
      <sz val="10"/>
      <color theme="1"/>
      <name val="Arial"/>
      <family val="2"/>
    </font>
    <font>
      <b/>
      <sz val="11"/>
      <color rgb="FFFA7D00"/>
      <name val="Calibri"/>
      <family val="2"/>
      <scheme val="minor"/>
    </font>
    <font>
      <vertAlign val="superscript"/>
      <sz val="10"/>
      <name val="Arial"/>
      <family val="2"/>
    </font>
    <font>
      <sz val="11"/>
      <name val="Calibri"/>
      <family val="2"/>
    </font>
    <font>
      <b/>
      <sz val="18"/>
      <name val="Arial"/>
      <family val="2"/>
    </font>
    <font>
      <b/>
      <sz val="10"/>
      <color theme="9" tint="-0.249977111117893"/>
      <name val="Arial"/>
      <family val="2"/>
    </font>
    <font>
      <b/>
      <sz val="11"/>
      <name val="Calibri"/>
      <family val="2"/>
      <scheme val="minor"/>
    </font>
    <font>
      <b/>
      <i/>
      <sz val="10"/>
      <color theme="1"/>
      <name val="Arial"/>
      <family val="2"/>
    </font>
    <font>
      <sz val="11"/>
      <name val="Calibri"/>
      <family val="2"/>
      <scheme val="minor"/>
    </font>
    <font>
      <sz val="10"/>
      <name val="Courier New"/>
      <family val="3"/>
    </font>
    <font>
      <i/>
      <sz val="11"/>
      <name val="Calibri"/>
      <family val="2"/>
    </font>
    <font>
      <sz val="12"/>
      <color rgb="FFFF0000"/>
      <name val="Arial"/>
      <family val="2"/>
    </font>
    <font>
      <sz val="10"/>
      <color rgb="FFFF0000"/>
      <name val="Arial"/>
      <family val="2"/>
    </font>
    <font>
      <b/>
      <sz val="12"/>
      <color rgb="FFFF0000"/>
      <name val="Arial"/>
      <family val="2"/>
    </font>
    <font>
      <b/>
      <sz val="10"/>
      <color rgb="FFFF0000"/>
      <name val="Arial"/>
      <family val="2"/>
    </font>
    <font>
      <b/>
      <sz val="11"/>
      <name val="Arial"/>
      <family val="2"/>
    </font>
    <font>
      <sz val="9"/>
      <name val="宋体"/>
      <family val="3"/>
      <charset val="134"/>
    </font>
    <font>
      <sz val="10"/>
      <color theme="1"/>
      <name val="宋体"/>
      <family val="3"/>
      <charset val="134"/>
    </font>
    <font>
      <sz val="10"/>
      <name val="宋体"/>
      <family val="3"/>
      <charset val="134"/>
    </font>
    <font>
      <b/>
      <sz val="10"/>
      <color rgb="FFFA7D00"/>
      <name val="Calibri"/>
      <family val="2"/>
      <scheme val="minor"/>
    </font>
    <font>
      <sz val="10"/>
      <color theme="1"/>
      <name val="Arial"/>
      <family val="3"/>
      <charset val="134"/>
    </font>
  </fonts>
  <fills count="12">
    <fill>
      <patternFill patternType="none"/>
    </fill>
    <fill>
      <patternFill patternType="gray125"/>
    </fill>
    <fill>
      <patternFill patternType="solid">
        <fgColor indexed="9"/>
        <bgColor indexed="64"/>
      </patternFill>
    </fill>
    <fill>
      <patternFill patternType="solid">
        <fgColor rgb="FFFFCC99"/>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rgb="FFF2F2F2"/>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rgb="FF7F7F7F"/>
      </left>
      <right style="thin">
        <color rgb="FF7F7F7F"/>
      </right>
      <top style="thin">
        <color rgb="FF7F7F7F"/>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rgb="FF7F7F7F"/>
      </left>
      <right style="thin">
        <color rgb="FF7F7F7F"/>
      </right>
      <top style="medium">
        <color indexed="64"/>
      </top>
      <bottom style="thin">
        <color rgb="FF7F7F7F"/>
      </bottom>
      <diagonal/>
    </border>
    <border>
      <left/>
      <right style="thin">
        <color indexed="64"/>
      </right>
      <top style="medium">
        <color indexed="64"/>
      </top>
      <bottom style="medium">
        <color indexed="64"/>
      </bottom>
      <diagonal/>
    </border>
    <border>
      <left style="thin">
        <color rgb="FF7F7F7F"/>
      </left>
      <right style="thin">
        <color rgb="FF7F7F7F"/>
      </right>
      <top/>
      <bottom style="medium">
        <color indexed="64"/>
      </bottom>
      <diagonal/>
    </border>
    <border>
      <left style="thin">
        <color rgb="FF7F7F7F"/>
      </left>
      <right style="thin">
        <color rgb="FF7F7F7F"/>
      </right>
      <top style="medium">
        <color indexed="64"/>
      </top>
      <bottom/>
      <diagonal/>
    </border>
    <border>
      <left style="thin">
        <color indexed="64"/>
      </left>
      <right style="thin">
        <color indexed="64"/>
      </right>
      <top style="thin">
        <color rgb="FF7F7F7F"/>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rgb="FF7F7F7F"/>
      </right>
      <top style="thin">
        <color indexed="64"/>
      </top>
      <bottom style="thin">
        <color indexed="64"/>
      </bottom>
      <diagonal/>
    </border>
    <border>
      <left style="thin">
        <color rgb="FF7F7F7F"/>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7" fillId="3" borderId="21" applyNumberFormat="0" applyAlignment="0" applyProtection="0"/>
    <xf numFmtId="0" fontId="10" fillId="8" borderId="21" applyNumberFormat="0" applyAlignment="0" applyProtection="0"/>
    <xf numFmtId="0" fontId="3" fillId="0" borderId="0"/>
  </cellStyleXfs>
  <cellXfs count="491">
    <xf numFmtId="0" fontId="0" fillId="0" borderId="0" xfId="0"/>
    <xf numFmtId="0" fontId="0" fillId="0" borderId="0" xfId="0" applyAlignment="1">
      <alignment horizontal="center"/>
    </xf>
    <xf numFmtId="0" fontId="2" fillId="0" borderId="3" xfId="0" applyFont="1" applyBorder="1" applyAlignment="1">
      <alignment horizontal="center" wrapText="1"/>
    </xf>
    <xf numFmtId="0" fontId="3" fillId="0" borderId="0" xfId="0" applyFont="1"/>
    <xf numFmtId="0" fontId="2" fillId="0" borderId="4" xfId="0" applyFont="1" applyBorder="1" applyAlignment="1">
      <alignment horizontal="center"/>
    </xf>
    <xf numFmtId="0" fontId="2" fillId="0" borderId="3" xfId="0" applyFont="1" applyFill="1" applyBorder="1" applyAlignment="1">
      <alignment horizontal="center" wrapText="1"/>
    </xf>
    <xf numFmtId="0" fontId="0" fillId="0" borderId="0" xfId="0" applyFill="1"/>
    <xf numFmtId="0" fontId="0" fillId="0" borderId="0" xfId="0" quotePrefix="1"/>
    <xf numFmtId="0" fontId="0" fillId="6" borderId="0" xfId="0" applyFill="1"/>
    <xf numFmtId="0" fontId="5" fillId="2" borderId="0" xfId="0" applyFont="1" applyFill="1"/>
    <xf numFmtId="0" fontId="5" fillId="0" borderId="0" xfId="0" applyFont="1"/>
    <xf numFmtId="0" fontId="5" fillId="6" borderId="0" xfId="0" applyFont="1" applyFill="1"/>
    <xf numFmtId="0" fontId="0" fillId="6" borderId="0" xfId="0" applyFill="1" applyBorder="1"/>
    <xf numFmtId="0" fontId="0" fillId="6" borderId="0" xfId="0" applyFill="1" applyAlignment="1">
      <alignment horizontal="center"/>
    </xf>
    <xf numFmtId="0" fontId="8" fillId="0" borderId="3" xfId="0" applyFont="1" applyBorder="1" applyAlignment="1">
      <alignment horizontal="center" wrapText="1"/>
    </xf>
    <xf numFmtId="0" fontId="8" fillId="0" borderId="4" xfId="0" applyFont="1" applyBorder="1" applyAlignment="1">
      <alignment horizontal="center"/>
    </xf>
    <xf numFmtId="0" fontId="8" fillId="0" borderId="3" xfId="0" applyFont="1" applyFill="1" applyBorder="1" applyAlignment="1">
      <alignment horizontal="center" wrapText="1"/>
    </xf>
    <xf numFmtId="0" fontId="9" fillId="0" borderId="1" xfId="0" applyFont="1" applyBorder="1" applyAlignment="1">
      <alignment wrapText="1"/>
    </xf>
    <xf numFmtId="0" fontId="9" fillId="6" borderId="0" xfId="0" applyFont="1" applyFill="1"/>
    <xf numFmtId="0" fontId="4" fillId="6" borderId="5" xfId="0" applyFont="1" applyFill="1" applyBorder="1"/>
    <xf numFmtId="0" fontId="0" fillId="6" borderId="6" xfId="0" applyFill="1" applyBorder="1"/>
    <xf numFmtId="0" fontId="0" fillId="6" borderId="7" xfId="0" applyFill="1" applyBorder="1" applyAlignment="1">
      <alignment horizontal="center"/>
    </xf>
    <xf numFmtId="0" fontId="3" fillId="0" borderId="8" xfId="0" applyFont="1" applyBorder="1"/>
    <xf numFmtId="0" fontId="3" fillId="0" borderId="8" xfId="0" applyFont="1" applyFill="1" applyBorder="1"/>
    <xf numFmtId="0" fontId="3" fillId="0" borderId="9" xfId="0" applyFont="1" applyFill="1" applyBorder="1"/>
    <xf numFmtId="0" fontId="3" fillId="6" borderId="0" xfId="0" applyFont="1" applyFill="1"/>
    <xf numFmtId="0" fontId="0" fillId="6" borderId="0" xfId="0" quotePrefix="1" applyFill="1"/>
    <xf numFmtId="0" fontId="0" fillId="6" borderId="7" xfId="0" applyFill="1" applyBorder="1"/>
    <xf numFmtId="0" fontId="0" fillId="6" borderId="0" xfId="0" applyFill="1" applyAlignment="1">
      <alignment wrapText="1"/>
    </xf>
    <xf numFmtId="0" fontId="0" fillId="6" borderId="0" xfId="0" applyFill="1" applyBorder="1" applyAlignment="1">
      <alignment horizontal="center"/>
    </xf>
    <xf numFmtId="0" fontId="0" fillId="0" borderId="0" xfId="0" quotePrefix="1" applyAlignment="1">
      <alignment horizontal="left"/>
    </xf>
    <xf numFmtId="0" fontId="3" fillId="0" borderId="0" xfId="0" quotePrefix="1" applyFont="1"/>
    <xf numFmtId="0" fontId="9" fillId="0" borderId="10" xfId="0" applyFont="1" applyBorder="1" applyAlignment="1">
      <alignment wrapText="1"/>
    </xf>
    <xf numFmtId="0" fontId="9" fillId="0" borderId="23" xfId="0" applyFont="1" applyBorder="1" applyAlignment="1">
      <alignment wrapText="1"/>
    </xf>
    <xf numFmtId="0" fontId="9" fillId="0" borderId="27" xfId="0" applyFont="1" applyBorder="1" applyAlignment="1">
      <alignment wrapText="1"/>
    </xf>
    <xf numFmtId="0" fontId="8" fillId="0" borderId="4" xfId="0" applyFont="1" applyFill="1" applyBorder="1" applyAlignment="1">
      <alignment horizontal="center" wrapText="1"/>
    </xf>
    <xf numFmtId="0" fontId="9" fillId="0" borderId="0" xfId="0" applyFont="1" applyBorder="1" applyAlignment="1">
      <alignment horizontal="center" vertical="center"/>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Fill="1" applyBorder="1" applyAlignment="1">
      <alignment horizontal="center" wrapText="1"/>
    </xf>
    <xf numFmtId="0" fontId="3" fillId="0" borderId="8" xfId="0" applyFont="1" applyBorder="1" applyAlignment="1">
      <alignment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0" fillId="2" borderId="0" xfId="0" applyFill="1" applyAlignment="1">
      <alignment horizontal="center"/>
    </xf>
    <xf numFmtId="0" fontId="2" fillId="0" borderId="4" xfId="0" applyFont="1" applyFill="1" applyBorder="1" applyAlignment="1">
      <alignment horizontal="center" wrapText="1"/>
    </xf>
    <xf numFmtId="0" fontId="0" fillId="0" borderId="0" xfId="0" applyBorder="1" applyAlignment="1"/>
    <xf numFmtId="0" fontId="10" fillId="8" borderId="38" xfId="2" applyBorder="1" applyAlignment="1">
      <alignment horizontal="center" wrapText="1"/>
    </xf>
    <xf numFmtId="0" fontId="10" fillId="6" borderId="38" xfId="2" applyFill="1" applyBorder="1" applyAlignment="1">
      <alignment horizontal="center" wrapText="1"/>
    </xf>
    <xf numFmtId="0" fontId="12" fillId="6" borderId="0" xfId="0" applyFont="1" applyFill="1" applyAlignment="1">
      <alignment wrapText="1"/>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0" borderId="0" xfId="0" applyNumberFormat="1" applyFont="1" applyBorder="1" applyAlignment="1">
      <alignment horizontal="center" vertical="center"/>
    </xf>
    <xf numFmtId="0" fontId="14" fillId="10" borderId="23" xfId="0" applyFont="1" applyFill="1" applyBorder="1" applyAlignment="1">
      <alignment horizontal="center" vertical="center" wrapText="1"/>
    </xf>
    <xf numFmtId="0" fontId="9" fillId="0" borderId="23" xfId="1"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7" xfId="1"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6" borderId="0" xfId="0" quotePrefix="1" applyFont="1" applyFill="1"/>
    <xf numFmtId="0" fontId="3" fillId="0" borderId="0" xfId="0" applyFont="1" applyFill="1" applyBorder="1"/>
    <xf numFmtId="0" fontId="9" fillId="0" borderId="2" xfId="0" applyFont="1" applyBorder="1" applyAlignment="1">
      <alignment horizontal="center" vertical="center"/>
    </xf>
    <xf numFmtId="0" fontId="9" fillId="0" borderId="0" xfId="0" applyFont="1" applyBorder="1" applyAlignment="1">
      <alignment horizontal="center" wrapText="1"/>
    </xf>
    <xf numFmtId="0" fontId="9" fillId="0" borderId="0" xfId="0" applyFont="1" applyFill="1" applyBorder="1" applyAlignment="1">
      <alignment horizontal="center" wrapText="1"/>
    </xf>
    <xf numFmtId="0" fontId="9" fillId="0" borderId="0" xfId="1" applyFont="1" applyFill="1" applyBorder="1" applyAlignment="1">
      <alignment horizontal="center" wrapText="1"/>
    </xf>
    <xf numFmtId="0" fontId="9" fillId="0" borderId="0" xfId="0" applyFont="1" applyBorder="1" applyAlignment="1">
      <alignment horizontal="center"/>
    </xf>
    <xf numFmtId="0" fontId="9" fillId="0" borderId="0" xfId="0" applyFont="1" applyBorder="1" applyAlignment="1">
      <alignment wrapText="1"/>
    </xf>
    <xf numFmtId="0" fontId="9" fillId="0" borderId="2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1" applyFont="1"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9" fillId="6" borderId="0" xfId="0" applyFont="1" applyFill="1" applyAlignment="1">
      <alignment horizontal="center" vertical="center"/>
    </xf>
    <xf numFmtId="0" fontId="14" fillId="10" borderId="1" xfId="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left" vertical="top" wrapText="1"/>
    </xf>
    <xf numFmtId="0" fontId="3" fillId="0" borderId="36" xfId="0" applyFont="1" applyBorder="1" applyAlignment="1">
      <alignment horizontal="center" vertical="center"/>
    </xf>
    <xf numFmtId="0" fontId="10" fillId="8" borderId="44" xfId="2" applyBorder="1" applyAlignment="1">
      <alignment horizontal="center" vertical="center" wrapText="1"/>
    </xf>
    <xf numFmtId="0" fontId="9" fillId="0" borderId="23" xfId="0" quotePrefix="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14" fillId="0" borderId="0" xfId="0" applyFont="1" applyFill="1" applyBorder="1" applyAlignment="1">
      <alignment horizontal="center" vertical="center" wrapText="1"/>
    </xf>
    <xf numFmtId="0" fontId="8" fillId="0" borderId="45" xfId="1" applyFont="1" applyFill="1" applyBorder="1" applyAlignment="1">
      <alignment horizontal="center" wrapText="1"/>
    </xf>
    <xf numFmtId="0" fontId="9" fillId="0" borderId="27" xfId="0" quotePrefix="1" applyFont="1" applyFill="1" applyBorder="1" applyAlignment="1">
      <alignment horizontal="center" vertical="center" wrapText="1"/>
    </xf>
    <xf numFmtId="0" fontId="16" fillId="6" borderId="0" xfId="0" applyFont="1" applyFill="1"/>
    <xf numFmtId="0" fontId="3" fillId="0" borderId="9" xfId="0" applyFont="1" applyBorder="1" applyAlignment="1">
      <alignment horizontal="center" vertical="center" wrapText="1"/>
    </xf>
    <xf numFmtId="0" fontId="3" fillId="0" borderId="1" xfId="3" quotePrefix="1" applyBorder="1" applyAlignment="1">
      <alignment horizontal="center" vertical="center"/>
    </xf>
    <xf numFmtId="0" fontId="9" fillId="0" borderId="0" xfId="0" quotePrefix="1"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0" borderId="27" xfId="0" quotePrefix="1" applyFont="1" applyBorder="1" applyAlignment="1">
      <alignment horizontal="center" vertical="center" wrapText="1"/>
    </xf>
    <xf numFmtId="0" fontId="3" fillId="0" borderId="27" xfId="0" applyFont="1" applyBorder="1" applyAlignment="1">
      <alignment horizontal="center" vertical="center" wrapText="1"/>
    </xf>
    <xf numFmtId="0" fontId="3" fillId="0" borderId="8" xfId="0" applyFont="1" applyBorder="1" applyAlignment="1">
      <alignment horizontal="left" vertical="center" wrapText="1"/>
    </xf>
    <xf numFmtId="0" fontId="2" fillId="0" borderId="25" xfId="3" applyFont="1" applyBorder="1" applyAlignment="1">
      <alignment horizontal="left" wrapText="1"/>
    </xf>
    <xf numFmtId="0" fontId="3" fillId="0" borderId="1" xfId="3"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center"/>
    </xf>
    <xf numFmtId="0" fontId="9" fillId="0" borderId="0" xfId="0" applyFont="1" applyFill="1" applyBorder="1" applyAlignment="1">
      <alignment horizontal="center" vertical="center"/>
    </xf>
    <xf numFmtId="0" fontId="10" fillId="8" borderId="1" xfId="2" applyBorder="1" applyAlignment="1">
      <alignment horizontal="center" vertical="center" wrapText="1"/>
    </xf>
    <xf numFmtId="0" fontId="10" fillId="8" borderId="46" xfId="2" applyBorder="1" applyAlignment="1">
      <alignment horizontal="center" vertical="center" wrapText="1"/>
    </xf>
    <xf numFmtId="0" fontId="10" fillId="8" borderId="47" xfId="2" applyBorder="1" applyAlignment="1">
      <alignment horizontal="center" vertical="center" wrapText="1"/>
    </xf>
    <xf numFmtId="0" fontId="10" fillId="8" borderId="23" xfId="2" applyBorder="1" applyAlignment="1">
      <alignment horizontal="center" vertical="center" wrapText="1"/>
    </xf>
    <xf numFmtId="0" fontId="10" fillId="8" borderId="48" xfId="2" applyBorder="1" applyAlignment="1">
      <alignment horizontal="center" vertical="center" wrapText="1"/>
    </xf>
    <xf numFmtId="0" fontId="10" fillId="0" borderId="0" xfId="2" applyFill="1" applyBorder="1" applyAlignment="1">
      <alignment horizontal="center" vertical="center" wrapText="1"/>
    </xf>
    <xf numFmtId="0" fontId="10" fillId="8" borderId="27" xfId="2" applyBorder="1" applyAlignment="1">
      <alignment horizontal="center" vertical="center" wrapText="1"/>
    </xf>
    <xf numFmtId="0" fontId="3" fillId="6" borderId="1" xfId="0" applyFont="1" applyFill="1" applyBorder="1" applyAlignment="1">
      <alignment horizontal="center" vertical="top" wrapText="1"/>
    </xf>
    <xf numFmtId="0" fontId="0" fillId="0" borderId="1" xfId="0" applyBorder="1"/>
    <xf numFmtId="0" fontId="3" fillId="0" borderId="1" xfId="0" applyFont="1" applyBorder="1"/>
    <xf numFmtId="0" fontId="3" fillId="6" borderId="0" xfId="0" applyFont="1" applyFill="1" applyBorder="1" applyAlignment="1">
      <alignment horizontal="left" vertical="top" wrapText="1"/>
    </xf>
    <xf numFmtId="0" fontId="10" fillId="8" borderId="21" xfId="2" applyAlignment="1">
      <alignment horizontal="center" vertical="center" wrapText="1"/>
    </xf>
    <xf numFmtId="0" fontId="9" fillId="0" borderId="1" xfId="1"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8" borderId="21" xfId="2" applyBorder="1" applyAlignment="1">
      <alignment horizontal="center" vertical="center"/>
    </xf>
    <xf numFmtId="0" fontId="10" fillId="8" borderId="34" xfId="2" applyBorder="1" applyAlignment="1">
      <alignment horizontal="center" vertical="center"/>
    </xf>
    <xf numFmtId="0" fontId="2" fillId="0" borderId="0" xfId="0" applyFont="1"/>
    <xf numFmtId="0" fontId="9" fillId="0" borderId="1" xfId="0" applyFont="1" applyBorder="1" applyAlignment="1">
      <alignment vertical="center" wrapText="1"/>
    </xf>
    <xf numFmtId="0" fontId="9" fillId="0" borderId="23" xfId="0" applyFont="1" applyBorder="1" applyAlignment="1">
      <alignment vertical="center" wrapText="1"/>
    </xf>
    <xf numFmtId="0" fontId="3" fillId="0" borderId="27" xfId="0" applyFont="1" applyBorder="1" applyAlignment="1">
      <alignment vertical="center" wrapText="1"/>
    </xf>
    <xf numFmtId="0" fontId="9" fillId="0" borderId="27" xfId="0" applyFont="1" applyBorder="1" applyAlignment="1">
      <alignment vertical="center" wrapText="1"/>
    </xf>
    <xf numFmtId="0" fontId="9" fillId="0" borderId="23" xfId="0" applyFont="1" applyBorder="1" applyAlignment="1">
      <alignment horizontal="left" vertical="center" wrapText="1"/>
    </xf>
    <xf numFmtId="0" fontId="9" fillId="0" borderId="27" xfId="0" applyFont="1" applyBorder="1" applyAlignment="1">
      <alignment horizontal="left" vertical="center" wrapText="1"/>
    </xf>
    <xf numFmtId="0" fontId="9" fillId="0" borderId="0" xfId="0" applyFont="1" applyBorder="1" applyAlignment="1">
      <alignment vertical="center" wrapText="1"/>
    </xf>
    <xf numFmtId="0" fontId="13" fillId="6" borderId="0" xfId="0" applyFont="1" applyFill="1"/>
    <xf numFmtId="0" fontId="13" fillId="0" borderId="0" xfId="0" applyFont="1"/>
    <xf numFmtId="0" fontId="13" fillId="2" borderId="0" xfId="0" applyFont="1" applyFill="1"/>
    <xf numFmtId="0" fontId="10" fillId="8" borderId="34" xfId="2" applyBorder="1" applyAlignment="1">
      <alignment horizontal="center" vertical="center" wrapText="1"/>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9" xfId="0" applyFont="1" applyFill="1" applyBorder="1" applyAlignment="1">
      <alignment horizontal="center" vertical="center" wrapText="1"/>
    </xf>
    <xf numFmtId="0" fontId="20" fillId="6" borderId="0" xfId="0" applyFont="1" applyFill="1"/>
    <xf numFmtId="0" fontId="17" fillId="6" borderId="0" xfId="0" applyFont="1" applyFill="1" applyAlignment="1">
      <alignment wrapText="1"/>
    </xf>
    <xf numFmtId="0" fontId="9" fillId="0" borderId="2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7" xfId="0" applyFont="1" applyFill="1" applyBorder="1" applyAlignment="1">
      <alignment horizontal="center" vertical="center"/>
    </xf>
    <xf numFmtId="0" fontId="10" fillId="6" borderId="0" xfId="2" applyFill="1" applyBorder="1" applyAlignment="1">
      <alignment horizontal="center" vertical="center" wrapText="1"/>
    </xf>
    <xf numFmtId="0" fontId="9" fillId="0" borderId="27" xfId="0" applyFont="1" applyFill="1" applyBorder="1" applyAlignment="1">
      <alignment vertical="center" wrapText="1"/>
    </xf>
    <xf numFmtId="0" fontId="10" fillId="10" borderId="46" xfId="2" applyFill="1" applyBorder="1" applyAlignment="1">
      <alignment horizontal="center" vertical="center" wrapText="1"/>
    </xf>
    <xf numFmtId="0" fontId="10" fillId="8" borderId="1" xfId="2" applyBorder="1" applyAlignment="1">
      <alignment horizontal="center" vertical="center" wrapText="1"/>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10" fillId="8" borderId="34" xfId="2" applyBorder="1" applyAlignment="1">
      <alignment horizontal="center" vertical="center" wrapText="1"/>
    </xf>
    <xf numFmtId="0" fontId="6" fillId="2" borderId="0" xfId="0" applyFont="1" applyFill="1" applyAlignment="1"/>
    <xf numFmtId="0" fontId="3" fillId="0" borderId="32" xfId="0" applyFont="1" applyBorder="1" applyAlignment="1">
      <alignment horizontal="center" vertical="center" wrapText="1"/>
    </xf>
    <xf numFmtId="0" fontId="3" fillId="0" borderId="23" xfId="0" quotePrefix="1" applyFont="1" applyBorder="1" applyAlignment="1">
      <alignment horizontal="center" vertical="center" wrapText="1"/>
    </xf>
    <xf numFmtId="0" fontId="3" fillId="0" borderId="26" xfId="0" applyFont="1" applyBorder="1" applyAlignment="1">
      <alignment horizontal="center" vertical="center" wrapText="1"/>
    </xf>
    <xf numFmtId="0" fontId="3" fillId="0" borderId="2" xfId="0" quotePrefix="1" applyFont="1" applyBorder="1" applyAlignment="1">
      <alignment horizontal="center" vertical="center" wrapText="1"/>
    </xf>
    <xf numFmtId="0" fontId="3" fillId="0" borderId="2" xfId="0" applyFont="1" applyBorder="1" applyAlignment="1">
      <alignment horizontal="left" vertical="top" wrapText="1"/>
    </xf>
    <xf numFmtId="0" fontId="17" fillId="6" borderId="0" xfId="2" applyFont="1" applyFill="1" applyBorder="1" applyAlignment="1">
      <alignment horizontal="center" vertical="center" wrapText="1"/>
    </xf>
    <xf numFmtId="0" fontId="3" fillId="0" borderId="2" xfId="3" applyFont="1" applyBorder="1" applyAlignment="1">
      <alignment horizontal="center" vertical="center" wrapText="1"/>
    </xf>
    <xf numFmtId="0" fontId="3" fillId="0" borderId="27" xfId="3" applyFont="1" applyBorder="1" applyAlignment="1">
      <alignment horizontal="center" vertical="center" wrapText="1"/>
    </xf>
    <xf numFmtId="0" fontId="17" fillId="6" borderId="2" xfId="2" applyFont="1" applyFill="1" applyBorder="1" applyAlignment="1">
      <alignment horizontal="center" vertical="center"/>
    </xf>
    <xf numFmtId="0" fontId="17" fillId="6" borderId="1" xfId="2"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1" xfId="0" quotePrefix="1" applyFont="1" applyFill="1" applyBorder="1" applyAlignment="1">
      <alignment horizontal="center" vertical="center" wrapText="1"/>
    </xf>
    <xf numFmtId="0" fontId="3" fillId="0" borderId="25" xfId="3" applyFont="1" applyFill="1" applyBorder="1" applyAlignment="1">
      <alignment horizontal="left" wrapText="1"/>
    </xf>
    <xf numFmtId="0" fontId="3" fillId="0" borderId="25" xfId="3" applyFont="1" applyFill="1" applyBorder="1" applyAlignment="1">
      <alignment horizontal="left" vertical="top" wrapText="1"/>
    </xf>
    <xf numFmtId="0" fontId="3" fillId="0" borderId="9" xfId="0" applyFont="1" applyFill="1" applyBorder="1" applyAlignment="1">
      <alignment horizontal="left" vertical="center" wrapText="1"/>
    </xf>
    <xf numFmtId="0" fontId="3" fillId="0" borderId="27" xfId="0" quotePrefix="1" applyFont="1" applyFill="1" applyBorder="1" applyAlignment="1">
      <alignment horizontal="center" vertical="center" wrapText="1"/>
    </xf>
    <xf numFmtId="0" fontId="3" fillId="0" borderId="41" xfId="3" applyFont="1" applyFill="1" applyBorder="1" applyAlignment="1">
      <alignment horizontal="left" vertical="center" wrapText="1"/>
    </xf>
    <xf numFmtId="0" fontId="3" fillId="0" borderId="22" xfId="3" applyFont="1" applyBorder="1" applyAlignment="1">
      <alignment horizontal="center" vertical="center" wrapText="1"/>
    </xf>
    <xf numFmtId="0" fontId="3" fillId="0" borderId="8" xfId="3" applyFont="1" applyFill="1" applyBorder="1" applyAlignment="1">
      <alignment horizontal="left" vertical="center" wrapText="1"/>
    </xf>
    <xf numFmtId="0" fontId="3" fillId="0" borderId="28" xfId="3" applyFont="1" applyFill="1" applyBorder="1" applyAlignment="1">
      <alignment horizontal="left" vertical="top" wrapText="1"/>
    </xf>
    <xf numFmtId="0" fontId="3" fillId="0" borderId="26" xfId="3" applyFont="1" applyBorder="1" applyAlignment="1">
      <alignment horizontal="left" vertical="center" wrapText="1"/>
    </xf>
    <xf numFmtId="0" fontId="3" fillId="0" borderId="2" xfId="3" quotePrefix="1" applyFont="1" applyBorder="1" applyAlignment="1">
      <alignment horizontal="center" vertical="center" wrapText="1"/>
    </xf>
    <xf numFmtId="0" fontId="3" fillId="0" borderId="19" xfId="3" applyFont="1" applyBorder="1" applyAlignment="1">
      <alignment horizontal="left" vertical="center" wrapText="1"/>
    </xf>
    <xf numFmtId="0" fontId="3" fillId="0" borderId="42" xfId="3" applyFont="1" applyBorder="1" applyAlignment="1">
      <alignment horizontal="left" vertical="center" wrapText="1"/>
    </xf>
    <xf numFmtId="0" fontId="3" fillId="0" borderId="29" xfId="3" applyFont="1" applyBorder="1" applyAlignment="1">
      <alignment horizontal="center" vertical="center" wrapText="1"/>
    </xf>
    <xf numFmtId="0" fontId="3" fillId="0" borderId="20" xfId="3" applyFont="1" applyBorder="1" applyAlignment="1">
      <alignment horizontal="left" vertical="center" wrapText="1"/>
    </xf>
    <xf numFmtId="0" fontId="2" fillId="0" borderId="19" xfId="3" applyFont="1" applyBorder="1" applyAlignment="1">
      <alignment horizontal="left" wrapText="1"/>
    </xf>
    <xf numFmtId="0" fontId="2" fillId="0" borderId="28" xfId="3" applyFont="1" applyBorder="1" applyAlignment="1">
      <alignment horizontal="left" wrapText="1"/>
    </xf>
    <xf numFmtId="0" fontId="3" fillId="0" borderId="32" xfId="0" applyFont="1" applyBorder="1" applyAlignment="1">
      <alignment horizontal="left" vertical="center" wrapText="1"/>
    </xf>
    <xf numFmtId="0" fontId="2" fillId="0" borderId="26" xfId="0" applyFont="1" applyBorder="1" applyAlignment="1">
      <alignment horizontal="left" vertical="center" wrapText="1"/>
    </xf>
    <xf numFmtId="0" fontId="2" fillId="0" borderId="9" xfId="0" applyFont="1" applyBorder="1" applyAlignment="1">
      <alignment horizontal="left" vertical="center" wrapText="1"/>
    </xf>
    <xf numFmtId="0" fontId="3" fillId="0" borderId="2" xfId="3" applyFont="1" applyFill="1" applyBorder="1" applyAlignment="1">
      <alignment horizontal="center" vertical="center"/>
    </xf>
    <xf numFmtId="0" fontId="3" fillId="0" borderId="1" xfId="3" applyFont="1" applyFill="1" applyBorder="1" applyAlignment="1">
      <alignment horizontal="center" vertical="center"/>
    </xf>
    <xf numFmtId="0" fontId="3" fillId="0" borderId="27" xfId="3" applyFont="1" applyFill="1" applyBorder="1" applyAlignment="1">
      <alignment horizontal="center" vertical="center"/>
    </xf>
    <xf numFmtId="0" fontId="17" fillId="0" borderId="23" xfId="2" applyFont="1" applyFill="1" applyBorder="1" applyAlignment="1">
      <alignment horizontal="center" vertical="center" wrapText="1"/>
    </xf>
    <xf numFmtId="0" fontId="17" fillId="5" borderId="1"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22" fillId="6" borderId="0" xfId="0" applyFont="1" applyFill="1" applyAlignment="1">
      <alignment horizontal="left" vertical="center"/>
    </xf>
    <xf numFmtId="0" fontId="3" fillId="0" borderId="23" xfId="1" applyFont="1" applyFill="1" applyBorder="1" applyAlignment="1">
      <alignment horizontal="center" vertical="center" wrapText="1"/>
    </xf>
    <xf numFmtId="0" fontId="3" fillId="6" borderId="16" xfId="3" applyFont="1" applyFill="1" applyBorder="1" applyAlignment="1">
      <alignment horizontal="left" vertical="center" wrapText="1"/>
    </xf>
    <xf numFmtId="0" fontId="3" fillId="6" borderId="16" xfId="0" quotePrefix="1" applyFont="1" applyFill="1" applyBorder="1" applyAlignment="1">
      <alignment horizontal="center" vertical="center" wrapText="1"/>
    </xf>
    <xf numFmtId="0" fontId="17" fillId="6" borderId="16" xfId="2" applyFont="1" applyFill="1" applyBorder="1" applyAlignment="1">
      <alignment horizontal="center" vertical="center"/>
    </xf>
    <xf numFmtId="0" fontId="3" fillId="6" borderId="16" xfId="3" applyFont="1" applyFill="1" applyBorder="1" applyAlignment="1">
      <alignment horizontal="center" vertical="center" wrapText="1"/>
    </xf>
    <xf numFmtId="0" fontId="3" fillId="6" borderId="16" xfId="0" applyFont="1" applyFill="1" applyBorder="1" applyAlignment="1">
      <alignment horizontal="center" vertical="center"/>
    </xf>
    <xf numFmtId="0" fontId="17" fillId="0" borderId="1" xfId="2" applyFont="1" applyFill="1" applyBorder="1" applyAlignment="1">
      <alignment horizontal="center" vertical="center" wrapText="1"/>
    </xf>
    <xf numFmtId="0" fontId="17" fillId="0" borderId="27" xfId="2" applyFont="1" applyFill="1" applyBorder="1" applyAlignment="1">
      <alignment horizontal="center" vertical="center" wrapText="1"/>
    </xf>
    <xf numFmtId="0" fontId="9" fillId="6" borderId="0" xfId="0" applyFont="1" applyFill="1" applyAlignment="1">
      <alignment vertical="center"/>
    </xf>
    <xf numFmtId="0" fontId="10" fillId="8" borderId="44" xfId="2" applyBorder="1" applyAlignment="1">
      <alignment horizontal="center" vertical="center"/>
    </xf>
    <xf numFmtId="0" fontId="10" fillId="8" borderId="1" xfId="2" applyBorder="1" applyAlignment="1">
      <alignment horizontal="center" vertical="center"/>
    </xf>
    <xf numFmtId="0" fontId="23" fillId="6" borderId="0" xfId="0" applyFont="1" applyFill="1" applyAlignment="1">
      <alignment vertical="center" wrapText="1"/>
    </xf>
    <xf numFmtId="0" fontId="23" fillId="6" borderId="0" xfId="0" applyFont="1" applyFill="1" applyAlignment="1">
      <alignment horizontal="left" vertical="center" wrapText="1"/>
    </xf>
    <xf numFmtId="0" fontId="9" fillId="0" borderId="0" xfId="0" applyFont="1" applyFill="1" applyBorder="1" applyAlignment="1">
      <alignment wrapText="1"/>
    </xf>
    <xf numFmtId="0" fontId="0" fillId="0" borderId="0" xfId="0" applyFill="1" applyBorder="1" applyAlignment="1">
      <alignment horizontal="center" vertical="center"/>
    </xf>
    <xf numFmtId="0" fontId="0" fillId="6" borderId="49" xfId="0" applyFill="1" applyBorder="1" applyAlignment="1">
      <alignment vertical="center" wrapText="1"/>
    </xf>
    <xf numFmtId="0" fontId="0" fillId="6" borderId="0" xfId="0" applyFill="1" applyBorder="1" applyAlignment="1">
      <alignment vertical="center" wrapText="1"/>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10" fillId="8" borderId="21" xfId="2" applyBorder="1" applyAlignment="1">
      <alignment horizontal="center" vertical="center" wrapText="1"/>
    </xf>
    <xf numFmtId="0" fontId="9" fillId="0" borderId="1" xfId="0" applyFont="1" applyBorder="1" applyAlignment="1">
      <alignment horizontal="left" vertical="center" wrapText="1"/>
    </xf>
    <xf numFmtId="0" fontId="9" fillId="7" borderId="1" xfId="1" applyFont="1" applyFill="1" applyBorder="1" applyAlignment="1">
      <alignment horizontal="center" vertical="center" wrapText="1"/>
    </xf>
    <xf numFmtId="0" fontId="9" fillId="7" borderId="27" xfId="1" applyFont="1" applyFill="1" applyBorder="1" applyAlignment="1">
      <alignment horizontal="center" vertical="center" wrapText="1"/>
    </xf>
    <xf numFmtId="0" fontId="9" fillId="0" borderId="2" xfId="0" applyFont="1" applyBorder="1" applyAlignment="1">
      <alignment vertical="center" wrapText="1"/>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21" fillId="0" borderId="0" xfId="0" applyFont="1" applyFill="1"/>
    <xf numFmtId="0" fontId="9" fillId="0" borderId="23" xfId="0" applyFont="1" applyBorder="1" applyAlignment="1">
      <alignment horizontal="center" vertical="center"/>
    </xf>
    <xf numFmtId="0" fontId="3" fillId="0" borderId="1" xfId="0" applyFont="1" applyFill="1" applyBorder="1" applyAlignment="1">
      <alignment horizontal="center" vertical="center"/>
    </xf>
    <xf numFmtId="0" fontId="9" fillId="0" borderId="27"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vertical="center" wrapText="1"/>
    </xf>
    <xf numFmtId="0" fontId="10" fillId="8" borderId="10" xfId="2" applyBorder="1" applyAlignment="1">
      <alignment horizontal="center" vertical="center" wrapText="1"/>
    </xf>
    <xf numFmtId="0" fontId="10" fillId="8" borderId="2" xfId="2" applyBorder="1" applyAlignment="1">
      <alignment horizontal="center" vertical="center" wrapText="1"/>
    </xf>
    <xf numFmtId="0" fontId="9" fillId="0" borderId="35" xfId="0" applyFont="1" applyBorder="1" applyAlignment="1">
      <alignment horizontal="center" vertical="center" wrapText="1"/>
    </xf>
    <xf numFmtId="0" fontId="3" fillId="0" borderId="22" xfId="0" quotePrefix="1" applyFont="1" applyFill="1" applyBorder="1" applyAlignment="1">
      <alignment horizontal="center" vertical="center" wrapText="1"/>
    </xf>
    <xf numFmtId="0" fontId="17" fillId="0" borderId="22" xfId="2" applyFont="1" applyFill="1" applyBorder="1" applyAlignment="1">
      <alignment horizontal="center" vertical="center"/>
    </xf>
    <xf numFmtId="0" fontId="3" fillId="0" borderId="24" xfId="3" applyFont="1" applyFill="1" applyBorder="1" applyAlignment="1">
      <alignment horizontal="left"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6" xfId="1" applyFont="1" applyFill="1" applyBorder="1" applyAlignment="1">
      <alignment horizontal="center" vertical="center" wrapText="1"/>
    </xf>
    <xf numFmtId="0" fontId="9" fillId="0" borderId="36" xfId="0" applyFont="1" applyFill="1" applyBorder="1" applyAlignment="1">
      <alignment horizontal="center" vertical="center"/>
    </xf>
    <xf numFmtId="0" fontId="9" fillId="0" borderId="36" xfId="0" applyFont="1" applyFill="1" applyBorder="1" applyAlignment="1">
      <alignment wrapText="1"/>
    </xf>
    <xf numFmtId="0" fontId="9" fillId="0" borderId="37" xfId="0" applyNumberFormat="1" applyFont="1" applyFill="1" applyBorder="1" applyAlignment="1">
      <alignment horizontal="center" vertical="center"/>
    </xf>
    <xf numFmtId="0" fontId="0" fillId="0" borderId="0" xfId="0" applyBorder="1"/>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6" borderId="0" xfId="0" applyFont="1" applyFill="1" applyBorder="1" applyAlignment="1">
      <alignment horizontal="center" vertical="center" wrapText="1"/>
    </xf>
    <xf numFmtId="0" fontId="9" fillId="6" borderId="0" xfId="0" applyFont="1" applyFill="1" applyBorder="1" applyAlignment="1">
      <alignment vertical="center" wrapText="1"/>
    </xf>
    <xf numFmtId="0" fontId="0" fillId="6" borderId="0" xfId="0" applyFill="1" applyBorder="1" applyAlignment="1">
      <alignment horizontal="center" vertical="center"/>
    </xf>
    <xf numFmtId="0" fontId="3" fillId="6" borderId="0" xfId="0" quotePrefix="1" applyFont="1" applyFill="1" applyBorder="1"/>
    <xf numFmtId="0" fontId="8" fillId="0" borderId="5" xfId="0" applyFont="1" applyBorder="1" applyAlignment="1">
      <alignment horizontal="center" wrapText="1"/>
    </xf>
    <xf numFmtId="0" fontId="8" fillId="0" borderId="6" xfId="0" applyFont="1" applyFill="1" applyBorder="1" applyAlignment="1">
      <alignment horizontal="center" wrapText="1"/>
    </xf>
    <xf numFmtId="0" fontId="8" fillId="0" borderId="55" xfId="1" applyFont="1" applyFill="1" applyBorder="1" applyAlignment="1">
      <alignment horizontal="center" wrapText="1"/>
    </xf>
    <xf numFmtId="0" fontId="8" fillId="0" borderId="6" xfId="0" applyFont="1" applyBorder="1" applyAlignment="1">
      <alignment horizontal="center" wrapText="1"/>
    </xf>
    <xf numFmtId="0" fontId="8" fillId="0" borderId="6" xfId="0" applyFont="1" applyBorder="1" applyAlignment="1">
      <alignment horizontal="center"/>
    </xf>
    <xf numFmtId="0" fontId="8" fillId="0" borderId="7" xfId="0" applyFont="1" applyFill="1" applyBorder="1" applyAlignment="1">
      <alignment horizontal="center" wrapText="1"/>
    </xf>
    <xf numFmtId="0" fontId="3"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6" borderId="0" xfId="0" applyFont="1" applyFill="1" applyAlignment="1">
      <alignment horizontal="left" vertical="center"/>
    </xf>
    <xf numFmtId="0" fontId="17" fillId="0" borderId="44" xfId="2" applyFont="1" applyFill="1" applyBorder="1" applyAlignment="1">
      <alignment horizontal="center" vertical="center" wrapText="1"/>
    </xf>
    <xf numFmtId="0" fontId="3" fillId="0" borderId="0" xfId="0" quotePrefix="1" applyFont="1" applyBorder="1" applyAlignment="1">
      <alignment horizontal="center" vertical="center" wrapText="1"/>
    </xf>
    <xf numFmtId="0" fontId="3" fillId="0" borderId="0" xfId="0" applyFont="1" applyBorder="1" applyAlignment="1">
      <alignment horizontal="center" vertical="center" wrapText="1"/>
    </xf>
    <xf numFmtId="0" fontId="9" fillId="0" borderId="1" xfId="0" applyFont="1" applyBorder="1" applyAlignment="1">
      <alignment horizontal="center" vertical="center"/>
    </xf>
    <xf numFmtId="0" fontId="9" fillId="0" borderId="36" xfId="0" quotePrefix="1" applyFont="1" applyFill="1" applyBorder="1" applyAlignment="1">
      <alignment horizontal="center" vertical="center" wrapText="1"/>
    </xf>
    <xf numFmtId="0" fontId="3" fillId="0" borderId="36"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3" fillId="0" borderId="0" xfId="0" applyFont="1" applyFill="1" applyBorder="1" applyAlignment="1">
      <alignment horizontal="center" vertical="center"/>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3" fillId="7" borderId="1" xfId="0" applyFont="1" applyFill="1" applyBorder="1" applyAlignment="1">
      <alignment horizontal="center" vertical="center"/>
    </xf>
    <xf numFmtId="0" fontId="3" fillId="6" borderId="1" xfId="0" applyFont="1" applyFill="1" applyBorder="1" applyAlignment="1">
      <alignment horizontal="center" vertical="center"/>
    </xf>
    <xf numFmtId="0" fontId="23" fillId="6" borderId="0" xfId="0" applyFont="1" applyFill="1" applyAlignment="1">
      <alignment horizontal="center" vertical="center" wrapText="1"/>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3" fillId="0" borderId="27" xfId="0" applyFont="1" applyFill="1" applyBorder="1" applyAlignment="1">
      <alignment horizontal="center" vertical="center"/>
    </xf>
    <xf numFmtId="0" fontId="3" fillId="0" borderId="23" xfId="2" applyFont="1" applyFill="1" applyBorder="1" applyAlignment="1">
      <alignment horizontal="center" vertical="center"/>
    </xf>
    <xf numFmtId="0" fontId="3" fillId="6" borderId="21" xfId="2"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27" xfId="2" applyFont="1" applyFill="1" applyBorder="1" applyAlignment="1">
      <alignment horizontal="center" vertical="center"/>
    </xf>
    <xf numFmtId="0" fontId="3" fillId="0" borderId="36" xfId="2" applyFont="1" applyFill="1" applyBorder="1" applyAlignment="1">
      <alignment horizontal="center" vertical="center"/>
    </xf>
    <xf numFmtId="0" fontId="9" fillId="0" borderId="36" xfId="0" applyFont="1" applyBorder="1" applyAlignment="1">
      <alignment wrapText="1"/>
    </xf>
    <xf numFmtId="0" fontId="3" fillId="7" borderId="1"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3" fillId="0" borderId="1" xfId="0" applyFont="1" applyBorder="1" applyAlignment="1">
      <alignment wrapText="1"/>
    </xf>
    <xf numFmtId="0" fontId="10" fillId="8" borderId="21" xfId="2" applyAlignment="1">
      <alignment horizontal="center" vertical="center"/>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17" fillId="6" borderId="46" xfId="2" applyFont="1" applyFill="1" applyBorder="1" applyAlignment="1">
      <alignment horizontal="center" vertical="center" wrapText="1"/>
    </xf>
    <xf numFmtId="0" fontId="18" fillId="0" borderId="0" xfId="0" applyFont="1" applyBorder="1"/>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4" borderId="0" xfId="0" applyFont="1" applyFill="1" applyBorder="1" applyAlignment="1">
      <alignment horizontal="left" vertical="center"/>
    </xf>
    <xf numFmtId="0" fontId="18" fillId="0" borderId="0" xfId="0" applyFont="1" applyFill="1" applyBorder="1"/>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2" fillId="0" borderId="0" xfId="0" applyFont="1" applyBorder="1" applyAlignment="1">
      <alignment horizontal="left" vertical="center" wrapText="1"/>
    </xf>
    <xf numFmtId="0" fontId="3" fillId="0" borderId="0" xfId="3" applyFont="1" applyFill="1" applyBorder="1" applyAlignment="1">
      <alignment horizontal="center" vertical="center"/>
    </xf>
    <xf numFmtId="0" fontId="2" fillId="0" borderId="0" xfId="3" applyFont="1" applyBorder="1" applyAlignment="1">
      <alignment horizontal="left" wrapText="1"/>
    </xf>
    <xf numFmtId="0" fontId="3" fillId="0" borderId="0" xfId="0" applyFont="1" applyBorder="1" applyAlignment="1">
      <alignment horizontal="center" vertical="center"/>
    </xf>
    <xf numFmtId="0" fontId="3" fillId="0" borderId="27" xfId="0" applyFont="1" applyFill="1" applyBorder="1" applyAlignment="1">
      <alignment horizontal="center" vertical="center"/>
    </xf>
    <xf numFmtId="0" fontId="3" fillId="0" borderId="0" xfId="3" quotePrefix="1" applyFill="1" applyBorder="1" applyAlignment="1">
      <alignment horizontal="center" vertical="center"/>
    </xf>
    <xf numFmtId="0" fontId="9" fillId="0" borderId="1" xfId="0" applyFont="1" applyBorder="1" applyAlignment="1">
      <alignment horizontal="center" vertical="center"/>
    </xf>
    <xf numFmtId="0" fontId="3" fillId="0" borderId="24" xfId="3" applyFont="1" applyFill="1" applyBorder="1" applyAlignment="1">
      <alignment horizontal="left" vertical="center" wrapText="1"/>
    </xf>
    <xf numFmtId="0" fontId="17" fillId="0" borderId="1" xfId="2" applyFont="1" applyFill="1" applyBorder="1" applyAlignment="1">
      <alignment horizontal="center" vertical="center"/>
    </xf>
    <xf numFmtId="0" fontId="3" fillId="0" borderId="25" xfId="3" applyFont="1" applyFill="1" applyBorder="1" applyAlignment="1">
      <alignment horizontal="left" vertical="center" wrapText="1"/>
    </xf>
    <xf numFmtId="0" fontId="3" fillId="0" borderId="10" xfId="3" applyFont="1" applyBorder="1" applyAlignment="1">
      <alignment horizontal="center" vertical="center" wrapText="1"/>
    </xf>
    <xf numFmtId="0" fontId="14" fillId="10" borderId="1" xfId="0" applyFont="1" applyFill="1" applyBorder="1" applyAlignment="1">
      <alignment horizontal="center" vertical="center"/>
    </xf>
    <xf numFmtId="0" fontId="14" fillId="10" borderId="10" xfId="0" applyFont="1" applyFill="1" applyBorder="1" applyAlignment="1">
      <alignment horizontal="center" vertical="center"/>
    </xf>
    <xf numFmtId="0" fontId="3" fillId="5" borderId="1" xfId="0" applyFont="1" applyFill="1" applyBorder="1" applyAlignment="1">
      <alignment horizontal="center" vertical="center"/>
    </xf>
    <xf numFmtId="0" fontId="3" fillId="0" borderId="2" xfId="0" quotePrefix="1" applyFont="1" applyFill="1" applyBorder="1" applyAlignment="1">
      <alignment horizontal="center" vertical="center" wrapText="1"/>
    </xf>
    <xf numFmtId="0" fontId="17" fillId="0" borderId="46" xfId="2" applyFont="1" applyFill="1" applyBorder="1" applyAlignment="1">
      <alignment horizontal="center" vertical="center"/>
    </xf>
    <xf numFmtId="0" fontId="3" fillId="0" borderId="28" xfId="3" applyFont="1" applyFill="1" applyBorder="1" applyAlignment="1">
      <alignment horizontal="left" vertical="center" wrapText="1"/>
    </xf>
    <xf numFmtId="0" fontId="3" fillId="0" borderId="23" xfId="3" applyFont="1" applyFill="1" applyBorder="1" applyAlignment="1">
      <alignment horizontal="center" vertical="center"/>
    </xf>
    <xf numFmtId="0" fontId="14" fillId="10" borderId="27" xfId="3" applyFont="1" applyFill="1" applyBorder="1" applyAlignment="1">
      <alignment horizontal="center" vertical="center"/>
    </xf>
    <xf numFmtId="0" fontId="17" fillId="8" borderId="21" xfId="2" applyFont="1" applyAlignment="1">
      <alignment horizontal="center" vertical="center" wrapText="1"/>
    </xf>
    <xf numFmtId="0" fontId="3" fillId="0" borderId="1" xfId="0" applyFont="1" applyBorder="1" applyAlignment="1">
      <alignment horizontal="left" vertical="center" wrapText="1"/>
    </xf>
    <xf numFmtId="0" fontId="3" fillId="6" borderId="8" xfId="0" applyFont="1" applyFill="1" applyBorder="1" applyAlignment="1">
      <alignment horizontal="left" vertical="center" wrapText="1"/>
    </xf>
    <xf numFmtId="0" fontId="2" fillId="2" borderId="0" xfId="0" applyFont="1" applyFill="1" applyAlignment="1"/>
    <xf numFmtId="0" fontId="2" fillId="6" borderId="5" xfId="0" applyFont="1" applyFill="1" applyBorder="1"/>
    <xf numFmtId="0" fontId="3" fillId="0" borderId="0" xfId="0" applyFont="1" applyBorder="1" applyAlignment="1"/>
    <xf numFmtId="0" fontId="3" fillId="6" borderId="0" xfId="0" applyFont="1" applyFill="1" applyBorder="1"/>
    <xf numFmtId="0" fontId="3" fillId="6" borderId="0" xfId="0" applyFont="1" applyFill="1" applyBorder="1" applyAlignment="1">
      <alignment horizontal="center" vertical="center"/>
    </xf>
    <xf numFmtId="0" fontId="28" fillId="0" borderId="0" xfId="2" applyFont="1" applyFill="1" applyBorder="1" applyAlignment="1">
      <alignment horizontal="center" vertical="center"/>
    </xf>
    <xf numFmtId="0" fontId="29" fillId="0" borderId="1" xfId="0" applyFont="1" applyBorder="1" applyAlignment="1">
      <alignment vertical="center" wrapText="1"/>
    </xf>
    <xf numFmtId="0" fontId="2" fillId="6" borderId="0" xfId="0" applyFont="1" applyFill="1" applyBorder="1" applyAlignment="1">
      <alignment horizontal="left" vertical="top" wrapText="1"/>
    </xf>
    <xf numFmtId="0" fontId="15" fillId="6" borderId="0" xfId="0" applyFont="1" applyFill="1" applyBorder="1" applyAlignment="1">
      <alignment vertical="top" wrapText="1"/>
    </xf>
    <xf numFmtId="0" fontId="2" fillId="0" borderId="1" xfId="0" applyFont="1" applyBorder="1" applyAlignment="1">
      <alignment horizontal="left" vertical="top"/>
    </xf>
    <xf numFmtId="0" fontId="17" fillId="7" borderId="44" xfId="2" applyFont="1" applyFill="1" applyBorder="1" applyAlignment="1">
      <alignment horizontal="center" vertical="center" wrapText="1"/>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2" fillId="6" borderId="1" xfId="0" applyFont="1" applyFill="1" applyBorder="1" applyAlignment="1">
      <alignment horizontal="left" vertical="top" wrapText="1"/>
    </xf>
    <xf numFmtId="0" fontId="18" fillId="0" borderId="0" xfId="0" applyFont="1"/>
    <xf numFmtId="0" fontId="18" fillId="0" borderId="0" xfId="0" applyFont="1" applyAlignment="1">
      <alignment horizontal="left" vertical="center"/>
    </xf>
    <xf numFmtId="0" fontId="18" fillId="4" borderId="0" xfId="0" applyFont="1" applyFill="1" applyAlignment="1">
      <alignment horizontal="left" vertical="center"/>
    </xf>
    <xf numFmtId="0" fontId="18" fillId="0" borderId="0" xfId="0" applyFont="1" applyAlignment="1">
      <alignment horizontal="center"/>
    </xf>
    <xf numFmtId="0" fontId="18" fillId="0" borderId="0" xfId="0" applyFont="1" applyFill="1" applyAlignment="1">
      <alignment horizontal="left" vertical="center"/>
    </xf>
    <xf numFmtId="0" fontId="3" fillId="6" borderId="1" xfId="0" applyFont="1" applyFill="1" applyBorder="1" applyAlignment="1">
      <alignment horizontal="left" vertical="top" wrapText="1"/>
    </xf>
    <xf numFmtId="0" fontId="18" fillId="6" borderId="0" xfId="0" applyFont="1" applyFill="1"/>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2" fillId="0" borderId="10" xfId="0" applyFont="1" applyBorder="1" applyAlignment="1">
      <alignment horizontal="left" vertical="top"/>
    </xf>
    <xf numFmtId="0" fontId="3" fillId="5" borderId="10" xfId="2" applyFont="1" applyFill="1" applyBorder="1" applyAlignment="1">
      <alignment horizontal="center" vertical="center"/>
    </xf>
    <xf numFmtId="0" fontId="2" fillId="0" borderId="1" xfId="0" applyFont="1" applyBorder="1" applyAlignment="1">
      <alignment horizontal="left" vertical="top" wrapText="1"/>
    </xf>
    <xf numFmtId="0" fontId="3" fillId="6" borderId="1" xfId="0" quotePrefix="1" applyFont="1" applyFill="1" applyBorder="1" applyAlignment="1">
      <alignment horizontal="left" vertical="top" wrapText="1"/>
    </xf>
    <xf numFmtId="0" fontId="4" fillId="6" borderId="1" xfId="0" applyFont="1" applyFill="1" applyBorder="1" applyAlignment="1">
      <alignment horizont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9" fillId="0" borderId="23" xfId="0" applyFont="1"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9" fillId="0" borderId="22" xfId="0" applyFont="1" applyBorder="1" applyAlignment="1">
      <alignment horizontal="center" vertical="center"/>
    </xf>
    <xf numFmtId="0" fontId="9" fillId="0" borderId="30" xfId="0" applyNumberFormat="1" applyFont="1" applyBorder="1" applyAlignment="1">
      <alignment horizontal="center" vertical="center"/>
    </xf>
    <xf numFmtId="0" fontId="1" fillId="0" borderId="0" xfId="0" applyFont="1" applyFill="1" applyBorder="1" applyAlignment="1">
      <alignment horizontal="left" vertical="center" wrapText="1"/>
    </xf>
    <xf numFmtId="0" fontId="0" fillId="0" borderId="0" xfId="0" applyAlignment="1">
      <alignment horizontal="left" vertical="center" wrapText="1"/>
    </xf>
    <xf numFmtId="0" fontId="10" fillId="8" borderId="57" xfId="2" applyBorder="1" applyAlignment="1">
      <alignment horizontal="center"/>
    </xf>
    <xf numFmtId="0" fontId="10" fillId="8" borderId="58" xfId="2" applyBorder="1" applyAlignment="1">
      <alignment horizontal="center"/>
    </xf>
    <xf numFmtId="0" fontId="2" fillId="0" borderId="0" xfId="0" applyFont="1" applyBorder="1" applyAlignment="1">
      <alignment horizontal="center" vertical="center"/>
    </xf>
    <xf numFmtId="0" fontId="2" fillId="0" borderId="0" xfId="0" applyFont="1" applyAlignment="1">
      <alignment horizontal="center"/>
    </xf>
    <xf numFmtId="0" fontId="3" fillId="5" borderId="1" xfId="0" applyFont="1" applyFill="1" applyBorder="1" applyAlignment="1">
      <alignment horizontal="center"/>
    </xf>
    <xf numFmtId="0" fontId="3" fillId="6" borderId="11" xfId="1" applyFont="1" applyFill="1" applyBorder="1" applyAlignment="1">
      <alignment horizontal="center"/>
    </xf>
    <xf numFmtId="0" fontId="3" fillId="6" borderId="56" xfId="1" applyFont="1" applyFill="1" applyBorder="1" applyAlignment="1">
      <alignment horizontal="center"/>
    </xf>
    <xf numFmtId="0" fontId="9" fillId="0" borderId="2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9" fillId="6" borderId="13" xfId="0" applyFont="1" applyFill="1" applyBorder="1" applyAlignment="1">
      <alignment vertical="center" wrapText="1"/>
    </xf>
    <xf numFmtId="0" fontId="9" fillId="6" borderId="0" xfId="0" applyFont="1" applyFill="1" applyAlignment="1">
      <alignment vertical="center" wrapText="1"/>
    </xf>
    <xf numFmtId="0" fontId="0" fillId="6" borderId="0" xfId="0" applyFill="1" applyBorder="1" applyAlignment="1">
      <alignment horizontal="left" vertical="center" wrapText="1"/>
    </xf>
    <xf numFmtId="0" fontId="24" fillId="11" borderId="4" xfId="0" applyFont="1" applyFill="1" applyBorder="1" applyAlignment="1">
      <alignment horizontal="center"/>
    </xf>
    <xf numFmtId="0" fontId="24" fillId="11" borderId="40" xfId="0" applyFont="1" applyFill="1" applyBorder="1" applyAlignment="1">
      <alignment horizontal="center"/>
    </xf>
    <xf numFmtId="0" fontId="24" fillId="11" borderId="39" xfId="0" applyFont="1" applyFill="1" applyBorder="1" applyAlignment="1">
      <alignment horizontal="center"/>
    </xf>
    <xf numFmtId="0" fontId="3" fillId="0" borderId="1" xfId="0" applyFont="1" applyBorder="1" applyAlignment="1">
      <alignment horizontal="left" vertical="center"/>
    </xf>
    <xf numFmtId="0" fontId="9" fillId="6" borderId="0" xfId="0" applyFont="1" applyFill="1" applyBorder="1" applyAlignment="1">
      <alignment horizontal="center" vertical="center"/>
    </xf>
    <xf numFmtId="0" fontId="2" fillId="0" borderId="4" xfId="0" applyFont="1" applyFill="1" applyBorder="1" applyAlignment="1">
      <alignment wrapText="1"/>
    </xf>
    <xf numFmtId="0" fontId="0" fillId="0" borderId="40" xfId="0" applyFill="1" applyBorder="1" applyAlignment="1"/>
    <xf numFmtId="0" fontId="0" fillId="0" borderId="39" xfId="0" applyFill="1" applyBorder="1" applyAlignment="1"/>
    <xf numFmtId="0" fontId="9" fillId="0" borderId="12" xfId="0" applyFont="1" applyBorder="1" applyAlignment="1">
      <alignment horizontal="center" vertical="center"/>
    </xf>
    <xf numFmtId="0" fontId="0" fillId="0" borderId="1" xfId="0" applyBorder="1" applyAlignment="1">
      <alignment horizontal="left" vertical="center"/>
    </xf>
    <xf numFmtId="0" fontId="3" fillId="0" borderId="22" xfId="0" applyFont="1" applyBorder="1" applyAlignment="1">
      <alignment horizontal="center" vertical="center"/>
    </xf>
    <xf numFmtId="0" fontId="13" fillId="2" borderId="0" xfId="0" applyFont="1" applyFill="1" applyAlignment="1">
      <alignment horizontal="right"/>
    </xf>
    <xf numFmtId="0" fontId="13" fillId="2" borderId="1" xfId="0" applyFont="1" applyFill="1" applyBorder="1" applyAlignment="1">
      <alignment horizontal="left"/>
    </xf>
    <xf numFmtId="0" fontId="8" fillId="0" borderId="4"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9" xfId="0" applyFont="1" applyBorder="1" applyAlignment="1">
      <alignment horizontal="center" vertical="center" wrapText="1"/>
    </xf>
    <xf numFmtId="0" fontId="9" fillId="0" borderId="33"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9"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27" xfId="0" applyFont="1" applyBorder="1" applyAlignment="1">
      <alignment horizontal="center" vertical="center"/>
    </xf>
    <xf numFmtId="0" fontId="13" fillId="6" borderId="0" xfId="0" applyFont="1" applyFill="1" applyBorder="1" applyAlignment="1">
      <alignment horizontal="center" wrapText="1"/>
    </xf>
    <xf numFmtId="0" fontId="3" fillId="5" borderId="11" xfId="1" applyFont="1" applyFill="1" applyBorder="1" applyAlignment="1">
      <alignment horizontal="center"/>
    </xf>
    <xf numFmtId="0" fontId="3" fillId="5" borderId="56" xfId="1" applyFont="1" applyFill="1" applyBorder="1" applyAlignment="1">
      <alignment horizontal="center"/>
    </xf>
    <xf numFmtId="0" fontId="17" fillId="5" borderId="57" xfId="1" applyFont="1" applyFill="1" applyBorder="1" applyAlignment="1">
      <alignment horizontal="center"/>
    </xf>
    <xf numFmtId="0" fontId="17" fillId="5" borderId="58" xfId="1" applyFont="1" applyFill="1" applyBorder="1" applyAlignment="1">
      <alignment horizontal="center"/>
    </xf>
    <xf numFmtId="0" fontId="17" fillId="5" borderId="11" xfId="1" applyFont="1" applyFill="1" applyBorder="1" applyAlignment="1">
      <alignment horizontal="center"/>
    </xf>
    <xf numFmtId="0" fontId="17" fillId="5" borderId="56" xfId="1" applyFont="1" applyFill="1" applyBorder="1" applyAlignment="1">
      <alignment horizontal="center"/>
    </xf>
    <xf numFmtId="0" fontId="15" fillId="0" borderId="0" xfId="2" applyFont="1" applyFill="1" applyBorder="1" applyAlignment="1">
      <alignment horizontal="center"/>
    </xf>
    <xf numFmtId="0" fontId="3" fillId="0" borderId="0" xfId="0" applyFont="1" applyBorder="1" applyAlignment="1">
      <alignment horizontal="center"/>
    </xf>
    <xf numFmtId="0" fontId="3" fillId="6" borderId="8" xfId="0" applyFont="1" applyFill="1" applyBorder="1" applyAlignment="1">
      <alignment horizontal="left" vertical="center" wrapText="1"/>
    </xf>
    <xf numFmtId="0" fontId="0" fillId="5" borderId="18" xfId="0" applyFill="1" applyBorder="1" applyAlignment="1">
      <alignment horizontal="center"/>
    </xf>
    <xf numFmtId="0" fontId="0" fillId="5" borderId="19" xfId="0" applyFill="1" applyBorder="1" applyAlignment="1">
      <alignment horizontal="center"/>
    </xf>
    <xf numFmtId="0" fontId="0" fillId="7" borderId="18" xfId="0" applyFill="1" applyBorder="1" applyAlignment="1">
      <alignment horizontal="center"/>
    </xf>
    <xf numFmtId="0" fontId="0" fillId="7" borderId="19" xfId="0" applyFill="1" applyBorder="1" applyAlignment="1">
      <alignment horizontal="center"/>
    </xf>
    <xf numFmtId="0" fontId="0" fillId="4" borderId="18" xfId="0" applyFill="1" applyBorder="1" applyAlignment="1">
      <alignment horizontal="center"/>
    </xf>
    <xf numFmtId="0" fontId="0" fillId="4" borderId="20" xfId="0" applyFill="1" applyBorder="1" applyAlignment="1">
      <alignment horizontal="center"/>
    </xf>
    <xf numFmtId="0" fontId="3" fillId="0" borderId="13" xfId="0" applyFont="1" applyBorder="1" applyAlignment="1">
      <alignment horizontal="left" vertical="center"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49" fontId="3" fillId="5" borderId="11" xfId="1" applyNumberFormat="1" applyFont="1" applyFill="1" applyBorder="1" applyAlignment="1">
      <alignment horizontal="center"/>
    </xf>
    <xf numFmtId="49" fontId="3" fillId="5" borderId="56" xfId="1" applyNumberFormat="1" applyFont="1" applyFill="1" applyBorder="1" applyAlignment="1">
      <alignment horizontal="center"/>
    </xf>
    <xf numFmtId="0" fontId="2" fillId="0" borderId="1" xfId="0" applyFont="1" applyFill="1" applyBorder="1" applyAlignment="1">
      <alignment horizontal="center"/>
    </xf>
    <xf numFmtId="0" fontId="3" fillId="0" borderId="11" xfId="0" applyFont="1" applyBorder="1" applyAlignment="1">
      <alignment horizontal="left" vertical="top"/>
    </xf>
    <xf numFmtId="0" fontId="3" fillId="0" borderId="56" xfId="0" applyFont="1" applyBorder="1" applyAlignment="1">
      <alignment horizontal="left" vertical="top"/>
    </xf>
    <xf numFmtId="0" fontId="3" fillId="0" borderId="11" xfId="0" applyFont="1" applyBorder="1" applyAlignment="1">
      <alignment horizontal="left"/>
    </xf>
    <xf numFmtId="0" fontId="3" fillId="0" borderId="56" xfId="0" applyFont="1" applyBorder="1" applyAlignment="1">
      <alignment horizontal="left"/>
    </xf>
    <xf numFmtId="0" fontId="3" fillId="6" borderId="59" xfId="0" applyFont="1" applyFill="1" applyBorder="1" applyAlignment="1">
      <alignment horizontal="left" vertical="top" wrapText="1"/>
    </xf>
    <xf numFmtId="0" fontId="3" fillId="6" borderId="60" xfId="0" applyFont="1" applyFill="1" applyBorder="1" applyAlignment="1">
      <alignment horizontal="left" vertical="top" wrapText="1"/>
    </xf>
    <xf numFmtId="0" fontId="3" fillId="6" borderId="61" xfId="0" applyFont="1" applyFill="1" applyBorder="1" applyAlignment="1">
      <alignment horizontal="left" vertical="top" wrapText="1"/>
    </xf>
    <xf numFmtId="0" fontId="3" fillId="6" borderId="49"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62" xfId="0" applyFont="1" applyFill="1" applyBorder="1" applyAlignment="1">
      <alignment horizontal="left" vertical="top" wrapText="1"/>
    </xf>
    <xf numFmtId="0" fontId="3" fillId="6" borderId="63" xfId="0" applyFont="1" applyFill="1" applyBorder="1" applyAlignment="1">
      <alignment horizontal="left" vertical="top" wrapText="1"/>
    </xf>
    <xf numFmtId="0" fontId="3" fillId="6" borderId="64" xfId="0" applyFont="1" applyFill="1" applyBorder="1" applyAlignment="1">
      <alignment horizontal="left" vertical="top" wrapText="1"/>
    </xf>
    <xf numFmtId="0" fontId="3" fillId="6" borderId="65" xfId="0" applyFont="1" applyFill="1" applyBorder="1" applyAlignment="1">
      <alignment horizontal="left" vertical="top" wrapText="1"/>
    </xf>
    <xf numFmtId="0" fontId="0" fillId="0" borderId="0" xfId="0" applyBorder="1" applyAlignment="1">
      <alignment horizontal="left" vertical="center" wrapText="1"/>
    </xf>
    <xf numFmtId="0" fontId="3" fillId="6" borderId="1" xfId="0" applyFont="1" applyFill="1" applyBorder="1" applyAlignment="1">
      <alignment horizontal="left" vertical="top" wrapText="1"/>
    </xf>
    <xf numFmtId="0" fontId="9" fillId="0" borderId="29" xfId="0" applyFont="1" applyBorder="1" applyAlignment="1">
      <alignment horizontal="center" vertical="center"/>
    </xf>
    <xf numFmtId="0" fontId="9" fillId="0" borderId="50" xfId="0" applyNumberFormat="1" applyFont="1" applyBorder="1" applyAlignment="1">
      <alignment horizontal="center" vertical="center"/>
    </xf>
    <xf numFmtId="0" fontId="9" fillId="0" borderId="49" xfId="0" applyNumberFormat="1" applyFont="1" applyBorder="1" applyAlignment="1">
      <alignment horizontal="center" vertical="center"/>
    </xf>
    <xf numFmtId="0" fontId="9" fillId="0" borderId="51" xfId="0" applyNumberFormat="1" applyFont="1" applyBorder="1" applyAlignment="1">
      <alignment horizontal="center" vertical="center"/>
    </xf>
    <xf numFmtId="0" fontId="3" fillId="6" borderId="9" xfId="0" applyFont="1" applyFill="1" applyBorder="1" applyAlignment="1">
      <alignment horizontal="left" vertical="center" wrapText="1"/>
    </xf>
    <xf numFmtId="0" fontId="3" fillId="0" borderId="1" xfId="0" applyFont="1" applyBorder="1" applyAlignment="1">
      <alignment horizontal="left" vertical="top" wrapText="1"/>
    </xf>
    <xf numFmtId="0" fontId="0" fillId="6" borderId="11" xfId="0" applyFill="1" applyBorder="1" applyAlignment="1">
      <alignment horizontal="center"/>
    </xf>
    <xf numFmtId="0" fontId="0" fillId="6" borderId="56" xfId="0" applyFill="1" applyBorder="1" applyAlignment="1">
      <alignment horizontal="center"/>
    </xf>
    <xf numFmtId="0" fontId="2" fillId="9" borderId="4" xfId="0" applyFont="1" applyFill="1" applyBorder="1" applyAlignment="1">
      <alignment horizontal="center"/>
    </xf>
    <xf numFmtId="0" fontId="2" fillId="9" borderId="40" xfId="0" applyFont="1" applyFill="1" applyBorder="1" applyAlignment="1">
      <alignment horizontal="center"/>
    </xf>
    <xf numFmtId="0" fontId="2" fillId="9" borderId="39" xfId="0" applyFont="1" applyFill="1" applyBorder="1" applyAlignment="1">
      <alignment horizontal="center"/>
    </xf>
    <xf numFmtId="0" fontId="9"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2" fillId="0" borderId="18" xfId="3" applyFont="1" applyFill="1" applyBorder="1" applyAlignment="1">
      <alignment horizontal="left" vertical="top" wrapText="1"/>
    </xf>
    <xf numFmtId="0" fontId="3" fillId="0" borderId="33" xfId="0" applyFont="1" applyBorder="1" applyAlignment="1">
      <alignment horizontal="left" vertical="top" wrapText="1"/>
    </xf>
    <xf numFmtId="0" fontId="3" fillId="0" borderId="19" xfId="0" applyFont="1" applyBorder="1" applyAlignment="1">
      <alignment horizontal="left" vertical="top" wrapText="1"/>
    </xf>
    <xf numFmtId="0" fontId="9" fillId="6" borderId="1" xfId="0" applyFont="1" applyFill="1" applyBorder="1" applyAlignment="1">
      <alignment horizontal="center" vertical="center" wrapText="1"/>
    </xf>
    <xf numFmtId="0" fontId="3" fillId="0" borderId="41"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24"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9" fillId="0" borderId="50" xfId="0" applyFont="1"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9" fillId="0" borderId="52" xfId="0" applyNumberFormat="1"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2" fillId="6" borderId="13" xfId="0" applyFont="1" applyFill="1" applyBorder="1" applyAlignment="1">
      <alignment horizontal="left" vertical="center" wrapText="1"/>
    </xf>
    <xf numFmtId="0" fontId="3" fillId="0" borderId="18" xfId="3" applyFont="1" applyBorder="1" applyAlignment="1">
      <alignment horizontal="left" vertical="center" wrapText="1"/>
    </xf>
    <xf numFmtId="0" fontId="3" fillId="0" borderId="19" xfId="0" applyFont="1" applyBorder="1" applyAlignment="1">
      <alignment horizontal="left" vertical="center" wrapText="1"/>
    </xf>
    <xf numFmtId="0" fontId="9" fillId="0" borderId="20" xfId="0" applyNumberFormat="1" applyFont="1" applyBorder="1" applyAlignment="1">
      <alignment horizontal="center" vertical="center"/>
    </xf>
  </cellXfs>
  <cellStyles count="4">
    <cellStyle name="Calculation" xfId="2" builtinId="22"/>
    <cellStyle name="Input" xfId="1" builtinId="2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37</xdr:row>
      <xdr:rowOff>185399</xdr:rowOff>
    </xdr:from>
    <xdr:to>
      <xdr:col>1</xdr:col>
      <xdr:colOff>6705600</xdr:colOff>
      <xdr:row>50</xdr:row>
      <xdr:rowOff>66675</xdr:rowOff>
    </xdr:to>
    <xdr:pic>
      <xdr:nvPicPr>
        <xdr:cNvPr id="6" name="Picture 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0550" y="4604999"/>
          <a:ext cx="6724650" cy="2014876"/>
        </a:xfrm>
        <a:prstGeom prst="rect">
          <a:avLst/>
        </a:prstGeom>
        <a:noFill/>
      </xdr:spPr>
    </xdr:pic>
    <xdr:clientData/>
  </xdr:twoCellAnchor>
  <xdr:twoCellAnchor editAs="oneCell">
    <xdr:from>
      <xdr:col>1</xdr:col>
      <xdr:colOff>0</xdr:colOff>
      <xdr:row>6</xdr:row>
      <xdr:rowOff>152400</xdr:rowOff>
    </xdr:from>
    <xdr:to>
      <xdr:col>1</xdr:col>
      <xdr:colOff>5085714</xdr:colOff>
      <xdr:row>8</xdr:row>
      <xdr:rowOff>47590</xdr:rowOff>
    </xdr:to>
    <xdr:pic>
      <xdr:nvPicPr>
        <xdr:cNvPr id="10" name="Picture 9">
          <a:extLst>
            <a:ext uri="{FF2B5EF4-FFF2-40B4-BE49-F238E27FC236}">
              <a16:creationId xmlns:a16="http://schemas.microsoft.com/office/drawing/2014/main" id="{5E14CC4A-DF13-4AE2-8624-5BFA9292026D}"/>
            </a:ext>
          </a:extLst>
        </xdr:cNvPr>
        <xdr:cNvPicPr>
          <a:picLocks noChangeAspect="1"/>
        </xdr:cNvPicPr>
      </xdr:nvPicPr>
      <xdr:blipFill>
        <a:blip xmlns:r="http://schemas.openxmlformats.org/officeDocument/2006/relationships" r:embed="rId2"/>
        <a:stretch>
          <a:fillRect/>
        </a:stretch>
      </xdr:blipFill>
      <xdr:spPr>
        <a:xfrm>
          <a:off x="609600" y="1295400"/>
          <a:ext cx="5085714" cy="276190"/>
        </a:xfrm>
        <a:prstGeom prst="rect">
          <a:avLst/>
        </a:prstGeom>
      </xdr:spPr>
    </xdr:pic>
    <xdr:clientData/>
  </xdr:twoCellAnchor>
  <xdr:twoCellAnchor editAs="oneCell">
    <xdr:from>
      <xdr:col>1</xdr:col>
      <xdr:colOff>47624</xdr:colOff>
      <xdr:row>10</xdr:row>
      <xdr:rowOff>66676</xdr:rowOff>
    </xdr:from>
    <xdr:to>
      <xdr:col>1</xdr:col>
      <xdr:colOff>3286125</xdr:colOff>
      <xdr:row>24</xdr:row>
      <xdr:rowOff>157598</xdr:rowOff>
    </xdr:to>
    <xdr:pic>
      <xdr:nvPicPr>
        <xdr:cNvPr id="3" name="Picture 2">
          <a:extLst>
            <a:ext uri="{FF2B5EF4-FFF2-40B4-BE49-F238E27FC236}">
              <a16:creationId xmlns:a16="http://schemas.microsoft.com/office/drawing/2014/main" id="{951D0736-CF15-4C28-A2F7-FF02B4EDF212}"/>
            </a:ext>
          </a:extLst>
        </xdr:cNvPr>
        <xdr:cNvPicPr>
          <a:picLocks noChangeAspect="1"/>
        </xdr:cNvPicPr>
      </xdr:nvPicPr>
      <xdr:blipFill>
        <a:blip xmlns:r="http://schemas.openxmlformats.org/officeDocument/2006/relationships" r:embed="rId3"/>
        <a:stretch>
          <a:fillRect/>
        </a:stretch>
      </xdr:blipFill>
      <xdr:spPr>
        <a:xfrm>
          <a:off x="657224" y="1971676"/>
          <a:ext cx="3238501" cy="2443597"/>
        </a:xfrm>
        <a:prstGeom prst="rect">
          <a:avLst/>
        </a:prstGeom>
      </xdr:spPr>
    </xdr:pic>
    <xdr:clientData/>
  </xdr:twoCellAnchor>
  <xdr:twoCellAnchor editAs="oneCell">
    <xdr:from>
      <xdr:col>1</xdr:col>
      <xdr:colOff>28575</xdr:colOff>
      <xdr:row>27</xdr:row>
      <xdr:rowOff>19050</xdr:rowOff>
    </xdr:from>
    <xdr:to>
      <xdr:col>1</xdr:col>
      <xdr:colOff>4667250</xdr:colOff>
      <xdr:row>35</xdr:row>
      <xdr:rowOff>95085</xdr:rowOff>
    </xdr:to>
    <xdr:pic>
      <xdr:nvPicPr>
        <xdr:cNvPr id="11" name="Picture 10">
          <a:extLst>
            <a:ext uri="{FF2B5EF4-FFF2-40B4-BE49-F238E27FC236}">
              <a16:creationId xmlns:a16="http://schemas.microsoft.com/office/drawing/2014/main" id="{804936F0-B44B-4C7C-9326-428781F20451}"/>
            </a:ext>
          </a:extLst>
        </xdr:cNvPr>
        <xdr:cNvPicPr>
          <a:picLocks noChangeAspect="1"/>
        </xdr:cNvPicPr>
      </xdr:nvPicPr>
      <xdr:blipFill>
        <a:blip xmlns:r="http://schemas.openxmlformats.org/officeDocument/2006/relationships" r:embed="rId4"/>
        <a:stretch>
          <a:fillRect/>
        </a:stretch>
      </xdr:blipFill>
      <xdr:spPr>
        <a:xfrm>
          <a:off x="638175" y="4791075"/>
          <a:ext cx="4638675" cy="1371435"/>
        </a:xfrm>
        <a:prstGeom prst="rect">
          <a:avLst/>
        </a:prstGeom>
      </xdr:spPr>
    </xdr:pic>
    <xdr:clientData/>
  </xdr:twoCellAnchor>
  <xdr:twoCellAnchor editAs="oneCell">
    <xdr:from>
      <xdr:col>1</xdr:col>
      <xdr:colOff>19050</xdr:colOff>
      <xdr:row>54</xdr:row>
      <xdr:rowOff>57150</xdr:rowOff>
    </xdr:from>
    <xdr:to>
      <xdr:col>1</xdr:col>
      <xdr:colOff>5085717</xdr:colOff>
      <xdr:row>55</xdr:row>
      <xdr:rowOff>152364</xdr:rowOff>
    </xdr:to>
    <xdr:pic>
      <xdr:nvPicPr>
        <xdr:cNvPr id="12" name="Picture 11">
          <a:extLst>
            <a:ext uri="{FF2B5EF4-FFF2-40B4-BE49-F238E27FC236}">
              <a16:creationId xmlns:a16="http://schemas.microsoft.com/office/drawing/2014/main" id="{DA780B43-2D01-4E98-9C17-89D9E4B9AA59}"/>
            </a:ext>
          </a:extLst>
        </xdr:cNvPr>
        <xdr:cNvPicPr>
          <a:picLocks noChangeAspect="1"/>
        </xdr:cNvPicPr>
      </xdr:nvPicPr>
      <xdr:blipFill>
        <a:blip xmlns:r="http://schemas.openxmlformats.org/officeDocument/2006/relationships" r:embed="rId5"/>
        <a:stretch>
          <a:fillRect/>
        </a:stretch>
      </xdr:blipFill>
      <xdr:spPr>
        <a:xfrm>
          <a:off x="628650" y="9725025"/>
          <a:ext cx="5066667" cy="285714"/>
        </a:xfrm>
        <a:prstGeom prst="rect">
          <a:avLst/>
        </a:prstGeom>
      </xdr:spPr>
    </xdr:pic>
    <xdr:clientData/>
  </xdr:twoCellAnchor>
  <xdr:twoCellAnchor editAs="oneCell">
    <xdr:from>
      <xdr:col>1</xdr:col>
      <xdr:colOff>2000250</xdr:colOff>
      <xdr:row>67</xdr:row>
      <xdr:rowOff>95250</xdr:rowOff>
    </xdr:from>
    <xdr:to>
      <xdr:col>1</xdr:col>
      <xdr:colOff>3162155</xdr:colOff>
      <xdr:row>76</xdr:row>
      <xdr:rowOff>28405</xdr:rowOff>
    </xdr:to>
    <xdr:pic>
      <xdr:nvPicPr>
        <xdr:cNvPr id="13" name="Picture 12">
          <a:extLst>
            <a:ext uri="{FF2B5EF4-FFF2-40B4-BE49-F238E27FC236}">
              <a16:creationId xmlns:a16="http://schemas.microsoft.com/office/drawing/2014/main" id="{7A9C2C83-2915-45F6-85BA-7A06460DBCBA}"/>
            </a:ext>
          </a:extLst>
        </xdr:cNvPr>
        <xdr:cNvPicPr>
          <a:picLocks noChangeAspect="1"/>
        </xdr:cNvPicPr>
      </xdr:nvPicPr>
      <xdr:blipFill>
        <a:blip xmlns:r="http://schemas.openxmlformats.org/officeDocument/2006/relationships" r:embed="rId6"/>
        <a:stretch>
          <a:fillRect/>
        </a:stretch>
      </xdr:blipFill>
      <xdr:spPr>
        <a:xfrm>
          <a:off x="2609850" y="13230225"/>
          <a:ext cx="1161905" cy="1390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8"/>
  <sheetViews>
    <sheetView zoomScaleNormal="100" workbookViewId="0"/>
  </sheetViews>
  <sheetFormatPr defaultRowHeight="12.75"/>
  <cols>
    <col min="2" max="2" width="103.85546875" customWidth="1"/>
  </cols>
  <sheetData>
    <row r="1" spans="1:7" ht="15">
      <c r="A1" s="8"/>
      <c r="B1" s="139"/>
      <c r="C1" s="8"/>
      <c r="D1" s="8"/>
      <c r="E1" s="8"/>
      <c r="F1" s="8"/>
      <c r="G1" s="8"/>
    </row>
    <row r="2" spans="1:7" ht="15">
      <c r="A2" s="8"/>
      <c r="B2" s="50" t="s">
        <v>30</v>
      </c>
      <c r="C2" s="28"/>
      <c r="D2" s="28"/>
      <c r="E2" s="8"/>
      <c r="F2" s="8"/>
      <c r="G2" s="8"/>
    </row>
    <row r="3" spans="1:7" ht="15">
      <c r="A3" s="8"/>
      <c r="B3" s="50"/>
      <c r="C3" s="28"/>
      <c r="D3" s="28"/>
      <c r="E3" s="8"/>
      <c r="F3" s="8"/>
      <c r="G3" s="8"/>
    </row>
    <row r="4" spans="1:7" ht="15">
      <c r="A4" s="8"/>
      <c r="B4" s="50" t="s">
        <v>31</v>
      </c>
      <c r="C4" s="28"/>
      <c r="D4" s="28"/>
      <c r="E4" s="8"/>
      <c r="F4" s="8"/>
      <c r="G4" s="8"/>
    </row>
    <row r="5" spans="1:7" ht="15">
      <c r="A5" s="8"/>
      <c r="B5" s="50"/>
      <c r="C5" s="28"/>
      <c r="D5" s="28"/>
      <c r="E5" s="8"/>
      <c r="F5" s="8"/>
      <c r="G5" s="8"/>
    </row>
    <row r="6" spans="1:7" ht="15">
      <c r="A6" s="8"/>
      <c r="B6" s="50" t="s">
        <v>191</v>
      </c>
      <c r="C6" s="28"/>
      <c r="D6" s="28"/>
      <c r="E6" s="8"/>
      <c r="F6" s="8"/>
      <c r="G6" s="8"/>
    </row>
    <row r="7" spans="1:7" ht="15">
      <c r="A7" s="8"/>
      <c r="B7" s="50"/>
      <c r="C7" s="28"/>
      <c r="D7" s="28"/>
      <c r="E7" s="8"/>
      <c r="F7" s="8"/>
      <c r="G7" s="8"/>
    </row>
    <row r="8" spans="1:7" ht="15">
      <c r="A8" s="8"/>
      <c r="B8" s="50"/>
      <c r="C8" s="28"/>
      <c r="D8" s="28"/>
      <c r="E8" s="8"/>
      <c r="F8" s="8"/>
      <c r="G8" s="8"/>
    </row>
    <row r="9" spans="1:7" ht="15">
      <c r="A9" s="8"/>
      <c r="B9" s="50"/>
      <c r="C9" s="28"/>
      <c r="D9" s="28"/>
      <c r="E9" s="8"/>
      <c r="F9" s="8"/>
      <c r="G9" s="8"/>
    </row>
    <row r="10" spans="1:7" ht="15">
      <c r="A10" s="8"/>
      <c r="B10" s="50" t="s">
        <v>32</v>
      </c>
      <c r="C10" s="28"/>
      <c r="D10" s="28"/>
      <c r="E10" s="8"/>
      <c r="F10" s="8"/>
      <c r="G10" s="8"/>
    </row>
    <row r="11" spans="1:7" ht="15">
      <c r="A11" s="8"/>
      <c r="B11" s="50"/>
      <c r="C11" s="28"/>
      <c r="D11" s="28"/>
      <c r="E11" s="8"/>
      <c r="F11" s="8"/>
      <c r="G11" s="8"/>
    </row>
    <row r="12" spans="1:7" ht="15">
      <c r="A12" s="8"/>
      <c r="B12" s="50"/>
      <c r="C12" s="28"/>
      <c r="D12" s="28"/>
      <c r="E12" s="8"/>
      <c r="F12" s="8"/>
      <c r="G12" s="8"/>
    </row>
    <row r="13" spans="1:7">
      <c r="A13" s="8"/>
      <c r="B13" s="8"/>
      <c r="C13" s="28"/>
      <c r="D13" s="28"/>
      <c r="E13" s="8"/>
      <c r="F13" s="8"/>
      <c r="G13" s="8"/>
    </row>
    <row r="14" spans="1:7">
      <c r="A14" s="8"/>
      <c r="B14" s="8"/>
      <c r="C14" s="28"/>
      <c r="D14" s="28"/>
      <c r="E14" s="8"/>
      <c r="F14" s="8"/>
      <c r="G14" s="8"/>
    </row>
    <row r="15" spans="1:7">
      <c r="A15" s="8"/>
      <c r="B15" s="8"/>
      <c r="C15" s="28"/>
      <c r="D15" s="28"/>
      <c r="E15" s="8"/>
      <c r="F15" s="8"/>
      <c r="G15" s="8"/>
    </row>
    <row r="16" spans="1:7">
      <c r="A16" s="8"/>
      <c r="B16" s="8"/>
      <c r="C16" s="28"/>
      <c r="D16" s="28"/>
      <c r="E16" s="8"/>
      <c r="F16" s="8"/>
      <c r="G16" s="8"/>
    </row>
    <row r="17" spans="1:7">
      <c r="A17" s="8"/>
      <c r="B17" s="8"/>
      <c r="C17" s="28"/>
      <c r="D17" s="28"/>
      <c r="E17" s="8"/>
      <c r="F17" s="8"/>
      <c r="G17" s="8"/>
    </row>
    <row r="18" spans="1:7">
      <c r="A18" s="8"/>
      <c r="B18" s="8"/>
      <c r="C18" s="28"/>
      <c r="D18" s="28"/>
      <c r="E18" s="8"/>
      <c r="F18" s="8"/>
      <c r="G18" s="8"/>
    </row>
    <row r="19" spans="1:7">
      <c r="A19" s="8"/>
      <c r="B19" s="8"/>
      <c r="C19" s="28"/>
      <c r="D19" s="28"/>
      <c r="E19" s="8"/>
      <c r="F19" s="8"/>
      <c r="G19" s="8"/>
    </row>
    <row r="20" spans="1:7">
      <c r="A20" s="8"/>
      <c r="B20" s="8"/>
      <c r="C20" s="28"/>
      <c r="D20" s="28"/>
      <c r="E20" s="8"/>
      <c r="F20" s="8"/>
      <c r="G20" s="8"/>
    </row>
    <row r="21" spans="1:7">
      <c r="A21" s="8"/>
      <c r="B21" s="8"/>
      <c r="C21" s="28"/>
      <c r="D21" s="28"/>
      <c r="E21" s="8"/>
      <c r="F21" s="8"/>
      <c r="G21" s="8"/>
    </row>
    <row r="22" spans="1:7">
      <c r="A22" s="8"/>
      <c r="B22" s="8"/>
      <c r="C22" s="28"/>
      <c r="D22" s="28"/>
      <c r="E22" s="8"/>
      <c r="F22" s="8"/>
      <c r="G22" s="8"/>
    </row>
    <row r="23" spans="1:7" ht="15">
      <c r="A23" s="8"/>
      <c r="B23" s="50"/>
      <c r="C23" s="28"/>
      <c r="D23" s="28"/>
      <c r="E23" s="8"/>
      <c r="F23" s="8"/>
      <c r="G23" s="8"/>
    </row>
    <row r="24" spans="1:7">
      <c r="A24" s="8"/>
      <c r="B24" s="8"/>
      <c r="C24" s="28"/>
      <c r="D24" s="28"/>
      <c r="E24" s="8"/>
      <c r="F24" s="8"/>
      <c r="G24" s="8"/>
    </row>
    <row r="25" spans="1:7">
      <c r="A25" s="8"/>
      <c r="B25" s="8"/>
      <c r="C25" s="28"/>
      <c r="D25" s="28"/>
      <c r="E25" s="8"/>
      <c r="F25" s="8"/>
      <c r="G25" s="8"/>
    </row>
    <row r="26" spans="1:7">
      <c r="A26" s="8"/>
      <c r="B26" s="8"/>
      <c r="C26" s="28"/>
      <c r="D26" s="28"/>
      <c r="E26" s="8"/>
      <c r="F26" s="8"/>
      <c r="G26" s="8"/>
    </row>
    <row r="27" spans="1:7" ht="15">
      <c r="A27" s="8"/>
      <c r="B27" s="50" t="s">
        <v>753</v>
      </c>
      <c r="C27" s="28"/>
      <c r="D27" s="28"/>
      <c r="E27" s="8"/>
      <c r="F27" s="8"/>
      <c r="G27" s="8"/>
    </row>
    <row r="28" spans="1:7">
      <c r="A28" s="8"/>
      <c r="B28" s="8"/>
      <c r="C28" s="28"/>
      <c r="D28" s="28"/>
      <c r="E28" s="8"/>
      <c r="F28" s="8"/>
      <c r="G28" s="8"/>
    </row>
    <row r="29" spans="1:7">
      <c r="A29" s="8"/>
      <c r="B29" s="8"/>
      <c r="C29" s="28"/>
      <c r="D29" s="28"/>
      <c r="E29" s="8"/>
      <c r="F29" s="8"/>
      <c r="G29" s="8"/>
    </row>
    <row r="30" spans="1:7">
      <c r="A30" s="8"/>
      <c r="B30" s="8"/>
      <c r="C30" s="28"/>
      <c r="D30" s="28"/>
      <c r="E30" s="8"/>
      <c r="F30" s="8"/>
      <c r="G30" s="8"/>
    </row>
    <row r="31" spans="1:7">
      <c r="A31" s="8"/>
      <c r="B31" s="8"/>
      <c r="C31" s="28"/>
      <c r="D31" s="28"/>
      <c r="E31" s="8"/>
      <c r="F31" s="8"/>
      <c r="G31" s="8"/>
    </row>
    <row r="32" spans="1:7">
      <c r="A32" s="8"/>
      <c r="B32" s="8"/>
      <c r="C32" s="28"/>
      <c r="D32" s="28"/>
      <c r="E32" s="8"/>
      <c r="F32" s="8"/>
      <c r="G32" s="8"/>
    </row>
    <row r="33" spans="1:7">
      <c r="A33" s="8"/>
      <c r="B33" s="8"/>
      <c r="C33" s="28"/>
      <c r="D33" s="28"/>
      <c r="E33" s="8"/>
      <c r="F33" s="8"/>
      <c r="G33" s="8"/>
    </row>
    <row r="34" spans="1:7">
      <c r="A34" s="8"/>
      <c r="B34" s="8"/>
      <c r="C34" s="28"/>
      <c r="D34" s="28"/>
      <c r="E34" s="8"/>
      <c r="F34" s="8"/>
      <c r="G34" s="8"/>
    </row>
    <row r="35" spans="1:7">
      <c r="A35" s="8"/>
      <c r="B35" s="8"/>
      <c r="C35" s="28"/>
      <c r="D35" s="28"/>
      <c r="E35" s="8"/>
      <c r="F35" s="8"/>
      <c r="G35" s="8"/>
    </row>
    <row r="36" spans="1:7">
      <c r="A36" s="8"/>
      <c r="B36" s="8"/>
      <c r="C36" s="28"/>
      <c r="D36" s="28"/>
      <c r="E36" s="8"/>
      <c r="F36" s="8"/>
      <c r="G36" s="8"/>
    </row>
    <row r="37" spans="1:7" ht="45">
      <c r="A37" s="8"/>
      <c r="B37" s="50" t="s">
        <v>33</v>
      </c>
      <c r="C37" s="8"/>
      <c r="D37" s="8"/>
      <c r="E37" s="8"/>
      <c r="F37" s="8"/>
      <c r="G37" s="8"/>
    </row>
    <row r="38" spans="1:7" ht="15">
      <c r="A38" s="8"/>
      <c r="B38" s="50"/>
      <c r="C38" s="8"/>
      <c r="D38" s="8"/>
      <c r="E38" s="8"/>
      <c r="F38" s="8"/>
      <c r="G38" s="8"/>
    </row>
    <row r="39" spans="1:7">
      <c r="A39" s="8"/>
      <c r="B39" s="8"/>
      <c r="C39" s="8"/>
      <c r="D39" s="8"/>
      <c r="E39" s="8"/>
      <c r="F39" s="8"/>
      <c r="G39" s="8"/>
    </row>
    <row r="40" spans="1:7">
      <c r="A40" s="8"/>
      <c r="B40" s="8"/>
      <c r="C40" s="8"/>
      <c r="D40" s="8"/>
      <c r="E40" s="8"/>
      <c r="F40" s="8"/>
      <c r="G40" s="8"/>
    </row>
    <row r="41" spans="1:7">
      <c r="A41" s="8"/>
      <c r="B41" s="8"/>
      <c r="C41" s="8"/>
      <c r="D41" s="8"/>
      <c r="E41" s="8"/>
      <c r="F41" s="8"/>
      <c r="G41" s="8"/>
    </row>
    <row r="42" spans="1:7">
      <c r="A42" s="8"/>
      <c r="B42" s="8"/>
      <c r="C42" s="8"/>
      <c r="D42" s="8"/>
      <c r="E42" s="8"/>
      <c r="F42" s="8"/>
      <c r="G42" s="8"/>
    </row>
    <row r="43" spans="1:7">
      <c r="A43" s="8"/>
      <c r="B43" s="8"/>
      <c r="C43" s="8"/>
      <c r="D43" s="8"/>
      <c r="E43" s="8"/>
      <c r="F43" s="8"/>
      <c r="G43" s="8"/>
    </row>
    <row r="44" spans="1:7">
      <c r="A44" s="8"/>
      <c r="B44" s="8"/>
      <c r="C44" s="8"/>
      <c r="D44" s="8"/>
      <c r="E44" s="8"/>
      <c r="F44" s="8"/>
      <c r="G44" s="8"/>
    </row>
    <row r="45" spans="1:7">
      <c r="A45" s="8"/>
      <c r="B45" s="8"/>
      <c r="C45" s="8"/>
      <c r="D45" s="8"/>
      <c r="E45" s="8"/>
      <c r="F45" s="8"/>
      <c r="G45" s="8"/>
    </row>
    <row r="46" spans="1:7">
      <c r="A46" s="8"/>
      <c r="B46" s="8"/>
      <c r="C46" s="8"/>
      <c r="D46" s="8"/>
      <c r="E46" s="8"/>
      <c r="F46" s="8"/>
      <c r="G46" s="8"/>
    </row>
    <row r="47" spans="1:7">
      <c r="A47" s="8"/>
      <c r="B47" s="8"/>
      <c r="C47" s="8"/>
      <c r="D47" s="8"/>
      <c r="E47" s="8"/>
      <c r="F47" s="8"/>
      <c r="G47" s="8"/>
    </row>
    <row r="48" spans="1:7">
      <c r="A48" s="8"/>
      <c r="B48" s="8"/>
      <c r="C48" s="8"/>
      <c r="D48" s="8"/>
      <c r="E48" s="8"/>
      <c r="F48" s="8"/>
      <c r="G48" s="8"/>
    </row>
    <row r="49" spans="1:7">
      <c r="A49" s="8"/>
      <c r="B49" s="8"/>
      <c r="C49" s="8"/>
      <c r="D49" s="8"/>
      <c r="E49" s="8"/>
      <c r="F49" s="8"/>
      <c r="G49" s="8"/>
    </row>
    <row r="50" spans="1:7">
      <c r="A50" s="8"/>
      <c r="B50" s="8"/>
      <c r="C50" s="8"/>
      <c r="D50" s="8"/>
      <c r="E50" s="8"/>
      <c r="F50" s="8"/>
      <c r="G50" s="8"/>
    </row>
    <row r="51" spans="1:7">
      <c r="A51" s="8"/>
      <c r="B51" s="8"/>
      <c r="C51" s="8"/>
      <c r="D51" s="8"/>
      <c r="E51" s="8"/>
      <c r="F51" s="8"/>
      <c r="G51" s="8"/>
    </row>
    <row r="52" spans="1:7" ht="30">
      <c r="A52" s="8"/>
      <c r="B52" s="50" t="s">
        <v>754</v>
      </c>
      <c r="C52" s="8"/>
      <c r="D52" s="8"/>
      <c r="E52" s="8"/>
      <c r="F52" s="8"/>
      <c r="G52" s="8"/>
    </row>
    <row r="53" spans="1:7" ht="15">
      <c r="A53" s="8"/>
      <c r="B53" s="50"/>
      <c r="C53" s="8"/>
      <c r="D53" s="8"/>
      <c r="E53" s="8"/>
      <c r="F53" s="8"/>
      <c r="G53" s="8"/>
    </row>
    <row r="54" spans="1:7" ht="30">
      <c r="A54" s="8"/>
      <c r="B54" s="50" t="s">
        <v>755</v>
      </c>
      <c r="C54" s="8"/>
      <c r="D54" s="8"/>
      <c r="E54" s="8"/>
      <c r="F54" s="8"/>
      <c r="G54" s="8"/>
    </row>
    <row r="55" spans="1:7" ht="15">
      <c r="A55" s="8"/>
      <c r="B55" s="50"/>
      <c r="C55" s="8"/>
      <c r="D55" s="8"/>
      <c r="E55" s="8"/>
      <c r="F55" s="8"/>
      <c r="G55" s="8"/>
    </row>
    <row r="56" spans="1:7" ht="15">
      <c r="A56" s="8"/>
      <c r="B56" s="50"/>
      <c r="C56" s="8"/>
      <c r="D56" s="8"/>
      <c r="E56" s="8"/>
      <c r="F56" s="8"/>
      <c r="G56" s="8"/>
    </row>
    <row r="57" spans="1:7" ht="45">
      <c r="A57" s="8"/>
      <c r="B57" s="50" t="s">
        <v>756</v>
      </c>
      <c r="C57" s="8"/>
      <c r="D57" s="8"/>
      <c r="E57" s="8"/>
      <c r="F57" s="8"/>
      <c r="G57" s="8"/>
    </row>
    <row r="58" spans="1:7" ht="15">
      <c r="A58" s="8"/>
      <c r="B58" s="50"/>
      <c r="C58" s="8"/>
      <c r="D58" s="8"/>
      <c r="E58" s="8"/>
      <c r="F58" s="8"/>
      <c r="G58" s="8"/>
    </row>
    <row r="59" spans="1:7" ht="15">
      <c r="A59" s="8"/>
      <c r="B59" s="50"/>
      <c r="C59" s="8"/>
      <c r="D59" s="8"/>
      <c r="E59" s="8"/>
      <c r="F59" s="8"/>
      <c r="G59" s="8"/>
    </row>
    <row r="60" spans="1:7" ht="13.5">
      <c r="A60" s="8"/>
      <c r="B60" s="344" t="s">
        <v>296</v>
      </c>
      <c r="C60" s="8"/>
      <c r="D60" s="8"/>
      <c r="E60" s="8"/>
      <c r="F60" s="8"/>
      <c r="G60" s="8"/>
    </row>
    <row r="61" spans="1:7" ht="13.5">
      <c r="A61" s="8"/>
      <c r="B61" s="344" t="s">
        <v>297</v>
      </c>
      <c r="C61" s="8"/>
      <c r="D61" s="8"/>
      <c r="E61" s="8"/>
      <c r="F61" s="8"/>
      <c r="G61" s="8"/>
    </row>
    <row r="62" spans="1:7" ht="13.5">
      <c r="A62" s="8"/>
      <c r="B62" s="344" t="s">
        <v>298</v>
      </c>
      <c r="C62" s="8"/>
      <c r="D62" s="8"/>
      <c r="E62" s="8"/>
      <c r="F62" s="8"/>
      <c r="G62" s="8"/>
    </row>
    <row r="63" spans="1:7" ht="13.5">
      <c r="A63" s="8"/>
      <c r="B63" s="344" t="s">
        <v>299</v>
      </c>
      <c r="C63" s="8"/>
      <c r="D63" s="8"/>
      <c r="E63" s="8"/>
      <c r="F63" s="8"/>
      <c r="G63" s="8"/>
    </row>
    <row r="64" spans="1:7" ht="13.5">
      <c r="A64" s="8"/>
      <c r="B64" s="344" t="s">
        <v>300</v>
      </c>
      <c r="C64" s="8"/>
      <c r="D64" s="8"/>
      <c r="E64" s="8"/>
      <c r="F64" s="8"/>
      <c r="G64" s="8"/>
    </row>
    <row r="65" spans="1:7">
      <c r="A65" s="8"/>
      <c r="B65" s="8"/>
      <c r="C65" s="8"/>
      <c r="D65" s="8"/>
      <c r="E65" s="8"/>
      <c r="F65" s="8"/>
      <c r="G65" s="8"/>
    </row>
    <row r="66" spans="1:7">
      <c r="A66" s="8"/>
      <c r="B66" s="8"/>
      <c r="C66" s="8"/>
      <c r="D66" s="8"/>
      <c r="E66" s="8"/>
      <c r="F66" s="8"/>
      <c r="G66" s="8"/>
    </row>
    <row r="67" spans="1:7" ht="75">
      <c r="A67" s="8"/>
      <c r="B67" s="50" t="s">
        <v>757</v>
      </c>
      <c r="C67" s="8"/>
      <c r="D67" s="8"/>
      <c r="E67" s="8"/>
      <c r="F67" s="8"/>
      <c r="G67" s="8"/>
    </row>
    <row r="68" spans="1:7" ht="15">
      <c r="A68" s="8"/>
      <c r="B68" s="140"/>
      <c r="C68" s="8"/>
      <c r="D68" s="8"/>
      <c r="E68" s="8"/>
      <c r="F68" s="8"/>
      <c r="G68" s="8"/>
    </row>
    <row r="69" spans="1:7">
      <c r="A69" s="8"/>
      <c r="B69" s="25"/>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sheetData>
  <phoneticPr fontId="2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32"/>
  <sheetViews>
    <sheetView workbookViewId="0">
      <selection activeCell="C8" sqref="C8"/>
    </sheetView>
  </sheetViews>
  <sheetFormatPr defaultRowHeight="12.75"/>
  <cols>
    <col min="2" max="2" width="21.5703125" customWidth="1"/>
    <col min="3" max="3" width="45.85546875" customWidth="1"/>
  </cols>
  <sheetData>
    <row r="2" spans="2:3">
      <c r="B2" s="123" t="s">
        <v>189</v>
      </c>
    </row>
    <row r="3" spans="2:3" ht="216.75">
      <c r="B3" s="113">
        <v>9</v>
      </c>
      <c r="C3" s="350" t="s">
        <v>768</v>
      </c>
    </row>
    <row r="6" spans="2:3" ht="15.75">
      <c r="B6" s="351" t="s">
        <v>20</v>
      </c>
      <c r="C6" s="351"/>
    </row>
    <row r="7" spans="2:3" ht="25.5" customHeight="1">
      <c r="B7" s="113" t="s">
        <v>188</v>
      </c>
      <c r="C7" s="113" t="s">
        <v>187</v>
      </c>
    </row>
    <row r="8" spans="2:3" ht="220.5" customHeight="1">
      <c r="B8" s="113">
        <v>9</v>
      </c>
      <c r="C8" s="350" t="s">
        <v>768</v>
      </c>
    </row>
    <row r="9" spans="2:3" ht="32.25" customHeight="1">
      <c r="B9" s="113">
        <v>8</v>
      </c>
      <c r="C9" s="346" t="s">
        <v>763</v>
      </c>
    </row>
    <row r="10" spans="2:3" ht="25.5" customHeight="1">
      <c r="B10" s="113">
        <v>7</v>
      </c>
      <c r="C10" s="345" t="s">
        <v>762</v>
      </c>
    </row>
    <row r="11" spans="2:3" ht="25.5" customHeight="1">
      <c r="B11" s="113">
        <v>6</v>
      </c>
      <c r="C11" s="343" t="s">
        <v>759</v>
      </c>
    </row>
    <row r="12" spans="2:3" ht="38.25">
      <c r="B12" s="113">
        <v>5</v>
      </c>
      <c r="C12" s="336" t="s">
        <v>758</v>
      </c>
    </row>
    <row r="13" spans="2:3">
      <c r="B13" s="113">
        <v>4</v>
      </c>
      <c r="C13" s="335" t="s">
        <v>743</v>
      </c>
    </row>
    <row r="14" spans="2:3" ht="76.5">
      <c r="B14" s="113">
        <v>3</v>
      </c>
      <c r="C14" s="284" t="s">
        <v>739</v>
      </c>
    </row>
    <row r="15" spans="2:3" ht="63.75">
      <c r="B15" s="113">
        <v>2</v>
      </c>
      <c r="C15" s="284" t="s">
        <v>737</v>
      </c>
    </row>
    <row r="16" spans="2:3">
      <c r="B16" s="113">
        <v>1</v>
      </c>
      <c r="C16" s="115" t="s">
        <v>484</v>
      </c>
    </row>
    <row r="17" spans="2:3" ht="38.25">
      <c r="B17" s="113">
        <v>1.1000000000000001</v>
      </c>
      <c r="C17" s="284" t="s">
        <v>695</v>
      </c>
    </row>
    <row r="18" spans="2:3">
      <c r="B18" s="113">
        <v>1.2</v>
      </c>
      <c r="C18" s="284" t="s">
        <v>702</v>
      </c>
    </row>
    <row r="19" spans="2:3">
      <c r="B19" s="113"/>
      <c r="C19" s="115"/>
    </row>
    <row r="20" spans="2:3">
      <c r="B20" s="113"/>
      <c r="C20" s="115"/>
    </row>
    <row r="21" spans="2:3">
      <c r="B21" s="113"/>
      <c r="C21" s="115"/>
    </row>
    <row r="22" spans="2:3">
      <c r="B22" s="113"/>
      <c r="C22" s="114"/>
    </row>
    <row r="23" spans="2:3">
      <c r="B23" s="113"/>
      <c r="C23" s="114"/>
    </row>
    <row r="24" spans="2:3">
      <c r="B24" s="113"/>
      <c r="C24" s="114"/>
    </row>
    <row r="25" spans="2:3">
      <c r="B25" s="113"/>
      <c r="C25" s="114"/>
    </row>
    <row r="26" spans="2:3">
      <c r="B26" s="113"/>
      <c r="C26" s="114"/>
    </row>
    <row r="27" spans="2:3">
      <c r="B27" s="113"/>
      <c r="C27" s="114"/>
    </row>
    <row r="28" spans="2:3">
      <c r="B28" s="113"/>
      <c r="C28" s="114"/>
    </row>
    <row r="29" spans="2:3">
      <c r="B29" s="113"/>
      <c r="C29" s="114"/>
    </row>
    <row r="30" spans="2:3">
      <c r="B30" s="113"/>
      <c r="C30" s="114"/>
    </row>
    <row r="31" spans="2:3">
      <c r="B31" s="113"/>
      <c r="C31" s="114"/>
    </row>
    <row r="32" spans="2:3">
      <c r="B32" s="113"/>
      <c r="C32" s="114"/>
    </row>
  </sheetData>
  <mergeCells count="1">
    <mergeCell ref="B6:C6"/>
  </mergeCells>
  <phoneticPr fontId="2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316"/>
  <sheetViews>
    <sheetView showGridLines="0" tabSelected="1" topLeftCell="A4" zoomScale="85" zoomScaleNormal="85" workbookViewId="0">
      <selection activeCell="F18" sqref="F18:G18"/>
    </sheetView>
  </sheetViews>
  <sheetFormatPr defaultRowHeight="12.75"/>
  <cols>
    <col min="1" max="1" width="3.42578125" style="8" customWidth="1"/>
    <col min="2" max="2" width="34.7109375" customWidth="1"/>
    <col min="3" max="3" width="10.7109375" customWidth="1"/>
    <col min="4" max="4" width="16.7109375" customWidth="1"/>
    <col min="5" max="5" width="13.85546875" style="1" customWidth="1"/>
    <col min="6" max="6" width="60.7109375" style="3" customWidth="1"/>
    <col min="7" max="7" width="20.7109375" style="1" customWidth="1"/>
    <col min="8" max="9" width="12.7109375" style="1" customWidth="1"/>
    <col min="10" max="10" width="16.42578125" customWidth="1"/>
    <col min="11" max="11" width="47.5703125" style="8" customWidth="1"/>
    <col min="12" max="12" width="16.5703125" style="8" customWidth="1"/>
    <col min="13" max="13" width="10" style="8" bestFit="1" customWidth="1"/>
    <col min="14" max="14" width="11.7109375" style="8" customWidth="1"/>
    <col min="15" max="16" width="4.7109375" style="8" customWidth="1"/>
    <col min="17" max="17" width="8.42578125" style="8" customWidth="1"/>
    <col min="18" max="21" width="4.7109375" style="8" customWidth="1"/>
    <col min="22" max="22" width="9.140625" style="8"/>
  </cols>
  <sheetData>
    <row r="1" spans="1:42" ht="15">
      <c r="B1" s="139"/>
      <c r="C1" s="8"/>
      <c r="D1" s="8"/>
      <c r="E1" s="8"/>
      <c r="F1" s="25"/>
      <c r="G1" s="45"/>
      <c r="H1" s="8"/>
      <c r="I1" s="8"/>
      <c r="J1" s="8"/>
      <c r="W1" s="8"/>
      <c r="X1" s="8"/>
      <c r="Y1" s="8"/>
      <c r="Z1" s="8"/>
      <c r="AA1" s="8"/>
      <c r="AB1" s="8"/>
      <c r="AC1" s="8"/>
      <c r="AD1" s="8"/>
      <c r="AE1" s="8"/>
      <c r="AF1" s="8"/>
      <c r="AG1" s="8"/>
      <c r="AH1" s="8"/>
      <c r="AI1" s="8"/>
      <c r="AJ1" s="8"/>
      <c r="AK1" s="8"/>
      <c r="AL1" s="8"/>
      <c r="AM1" s="8"/>
      <c r="AN1" s="8"/>
      <c r="AO1" s="8"/>
      <c r="AP1" s="8"/>
    </row>
    <row r="2" spans="1:42">
      <c r="B2" s="8"/>
      <c r="C2" s="8"/>
      <c r="D2" s="8"/>
      <c r="E2" s="8"/>
      <c r="F2" s="25"/>
      <c r="G2" s="45"/>
      <c r="H2" s="8"/>
      <c r="I2" s="8"/>
      <c r="J2" s="8"/>
      <c r="W2" s="8"/>
      <c r="X2" s="8"/>
      <c r="Y2" s="8"/>
      <c r="Z2" s="8"/>
      <c r="AA2" s="8"/>
      <c r="AB2" s="8"/>
      <c r="AC2" s="8"/>
      <c r="AD2" s="8"/>
      <c r="AE2" s="8"/>
      <c r="AF2" s="8"/>
      <c r="AG2" s="8"/>
      <c r="AH2" s="8"/>
      <c r="AI2" s="8"/>
      <c r="AJ2" s="8"/>
      <c r="AK2" s="8"/>
      <c r="AL2" s="8"/>
      <c r="AM2" s="8"/>
      <c r="AN2" s="8"/>
      <c r="AO2" s="8"/>
    </row>
    <row r="3" spans="1:42" s="10" customFormat="1" ht="35.25">
      <c r="A3" s="11"/>
      <c r="C3" s="151" t="s">
        <v>265</v>
      </c>
      <c r="D3" s="151"/>
      <c r="E3" s="151"/>
      <c r="F3" s="322"/>
      <c r="G3" s="151"/>
      <c r="H3" s="9"/>
      <c r="I3" s="9"/>
      <c r="J3" s="9"/>
      <c r="K3" s="11"/>
      <c r="L3" s="11"/>
      <c r="M3" s="11"/>
      <c r="N3" s="11"/>
      <c r="O3" s="11"/>
      <c r="P3" s="11"/>
      <c r="Q3" s="11"/>
      <c r="R3" s="11"/>
      <c r="S3" s="11"/>
      <c r="T3" s="11"/>
      <c r="U3" s="11"/>
      <c r="V3" s="11"/>
      <c r="W3" s="9"/>
      <c r="X3" s="9"/>
      <c r="Y3" s="9"/>
      <c r="Z3" s="9"/>
      <c r="AA3" s="9"/>
      <c r="AB3" s="9"/>
      <c r="AC3" s="9"/>
      <c r="AD3" s="9"/>
      <c r="AE3" s="9"/>
      <c r="AF3" s="9"/>
      <c r="AG3" s="9"/>
      <c r="AH3" s="9"/>
      <c r="AI3" s="9"/>
      <c r="AJ3" s="9"/>
      <c r="AK3" s="9"/>
      <c r="AL3" s="9"/>
      <c r="AM3" s="9"/>
      <c r="AN3" s="9"/>
    </row>
    <row r="4" spans="1:42" s="132" customFormat="1" ht="23.25">
      <c r="A4" s="131"/>
      <c r="C4" s="394" t="s">
        <v>192</v>
      </c>
      <c r="D4" s="394"/>
      <c r="E4" s="394"/>
      <c r="F4" s="394"/>
      <c r="G4" s="395" t="s">
        <v>488</v>
      </c>
      <c r="H4" s="395"/>
      <c r="I4" s="395"/>
      <c r="J4" s="395"/>
      <c r="K4" s="131"/>
      <c r="L4" s="131"/>
      <c r="M4" s="131"/>
      <c r="N4" s="131"/>
      <c r="O4" s="131"/>
      <c r="P4" s="131"/>
      <c r="Q4" s="131"/>
      <c r="R4" s="131"/>
      <c r="S4" s="131"/>
      <c r="T4" s="131"/>
      <c r="U4" s="131"/>
      <c r="V4" s="131"/>
      <c r="W4" s="133"/>
      <c r="X4" s="133"/>
      <c r="Y4" s="133"/>
      <c r="Z4" s="133"/>
      <c r="AA4" s="3" t="s">
        <v>13</v>
      </c>
      <c r="AB4" s="133"/>
      <c r="AC4" s="8">
        <v>32</v>
      </c>
      <c r="AD4" s="133"/>
      <c r="AE4" s="8">
        <v>1600</v>
      </c>
      <c r="AF4" s="8">
        <v>1</v>
      </c>
      <c r="AG4" s="133"/>
      <c r="AH4" s="133"/>
      <c r="AI4" s="133"/>
      <c r="AJ4" s="133"/>
      <c r="AK4" s="133"/>
      <c r="AL4" s="133"/>
      <c r="AM4" s="133"/>
      <c r="AN4" s="133"/>
    </row>
    <row r="5" spans="1:42" s="8" customFormat="1" ht="24" thickBot="1">
      <c r="B5" s="407"/>
      <c r="C5" s="407"/>
      <c r="D5" s="407"/>
      <c r="E5" s="407"/>
      <c r="F5" s="407"/>
      <c r="G5" s="407"/>
      <c r="H5" s="407"/>
      <c r="I5" s="407"/>
      <c r="J5" s="407"/>
      <c r="AA5" s="3" t="s">
        <v>35</v>
      </c>
      <c r="AC5" s="8">
        <v>16</v>
      </c>
      <c r="AE5" s="8">
        <v>200</v>
      </c>
      <c r="AF5" s="8">
        <v>2</v>
      </c>
      <c r="AJ5" s="25"/>
      <c r="AN5" s="25"/>
    </row>
    <row r="6" spans="1:42" ht="15.75">
      <c r="B6" s="19" t="s">
        <v>12</v>
      </c>
      <c r="C6" s="20"/>
      <c r="D6" s="20"/>
      <c r="E6" s="21"/>
      <c r="F6" s="323" t="s">
        <v>16</v>
      </c>
      <c r="G6" s="21"/>
      <c r="H6" s="13"/>
      <c r="I6" s="13"/>
      <c r="AA6" s="3" t="s">
        <v>117</v>
      </c>
      <c r="AE6">
        <v>50</v>
      </c>
      <c r="AF6">
        <v>3</v>
      </c>
      <c r="AJ6" s="7"/>
      <c r="AK6" s="3"/>
      <c r="AN6" s="7"/>
      <c r="AO6" s="31"/>
    </row>
    <row r="7" spans="1:42">
      <c r="B7" s="423" t="s">
        <v>15</v>
      </c>
      <c r="C7" s="424"/>
      <c r="D7" s="424"/>
      <c r="E7" s="425"/>
      <c r="F7" s="416" t="s">
        <v>18</v>
      </c>
      <c r="G7" s="417"/>
      <c r="H7" s="13"/>
      <c r="I7" s="13"/>
      <c r="AA7" s="3" t="s">
        <v>196</v>
      </c>
      <c r="AJ7" s="7"/>
      <c r="AK7" s="3"/>
      <c r="AN7" s="7"/>
      <c r="AO7" s="31"/>
    </row>
    <row r="8" spans="1:42">
      <c r="B8" s="426"/>
      <c r="C8" s="424"/>
      <c r="D8" s="424"/>
      <c r="E8" s="425"/>
      <c r="F8" s="416"/>
      <c r="G8" s="418"/>
      <c r="H8" s="13"/>
      <c r="I8" s="13"/>
      <c r="AA8" s="3" t="s">
        <v>197</v>
      </c>
      <c r="AJ8" s="7"/>
      <c r="AK8" s="3"/>
      <c r="AN8" s="7"/>
      <c r="AO8" s="31"/>
    </row>
    <row r="9" spans="1:42">
      <c r="B9" s="426"/>
      <c r="C9" s="424"/>
      <c r="D9" s="424"/>
      <c r="E9" s="425"/>
      <c r="F9" s="416" t="s">
        <v>21</v>
      </c>
      <c r="G9" s="419"/>
      <c r="H9" s="13"/>
      <c r="I9" s="13"/>
      <c r="AA9" s="3" t="s">
        <v>193</v>
      </c>
      <c r="AJ9" s="7"/>
      <c r="AK9" s="3"/>
      <c r="AL9" s="3"/>
      <c r="AN9" s="7"/>
      <c r="AO9" s="31"/>
    </row>
    <row r="10" spans="1:42">
      <c r="B10" s="426"/>
      <c r="C10" s="424"/>
      <c r="D10" s="424"/>
      <c r="E10" s="425"/>
      <c r="F10" s="416"/>
      <c r="G10" s="420"/>
      <c r="H10" s="13"/>
      <c r="I10" s="13"/>
      <c r="AA10" s="3" t="s">
        <v>194</v>
      </c>
      <c r="AJ10" s="7"/>
      <c r="AK10" s="3"/>
      <c r="AL10" s="3"/>
      <c r="AN10" s="7"/>
      <c r="AO10" s="7"/>
    </row>
    <row r="11" spans="1:42" ht="38.25">
      <c r="B11" s="426"/>
      <c r="C11" s="424"/>
      <c r="D11" s="424"/>
      <c r="E11" s="425"/>
      <c r="F11" s="321" t="s">
        <v>23</v>
      </c>
      <c r="G11" s="48" t="s">
        <v>22</v>
      </c>
      <c r="H11" s="13"/>
      <c r="I11" s="13"/>
      <c r="AJ11" s="7"/>
      <c r="AK11" s="3"/>
      <c r="AL11" s="3"/>
      <c r="AN11" s="7"/>
      <c r="AO11" s="7"/>
    </row>
    <row r="12" spans="1:42" ht="38.25">
      <c r="B12" s="426"/>
      <c r="C12" s="424"/>
      <c r="D12" s="424"/>
      <c r="E12" s="425"/>
      <c r="F12" s="321" t="s">
        <v>29</v>
      </c>
      <c r="G12" s="49"/>
      <c r="H12" s="13"/>
      <c r="I12" s="13"/>
      <c r="AJ12" s="7"/>
      <c r="AK12" s="3"/>
      <c r="AL12" s="3"/>
      <c r="AN12" s="7"/>
      <c r="AO12" s="7"/>
    </row>
    <row r="13" spans="1:42">
      <c r="B13" s="426"/>
      <c r="C13" s="424"/>
      <c r="D13" s="424"/>
      <c r="E13" s="425"/>
      <c r="F13" s="416" t="s">
        <v>17</v>
      </c>
      <c r="G13" s="421"/>
      <c r="H13" s="13"/>
      <c r="I13" s="13"/>
      <c r="AJ13" s="30"/>
      <c r="AN13" s="7"/>
      <c r="AO13" s="7"/>
    </row>
    <row r="14" spans="1:42" ht="13.5" thickBot="1">
      <c r="B14" s="427"/>
      <c r="C14" s="428"/>
      <c r="D14" s="428"/>
      <c r="E14" s="429"/>
      <c r="F14" s="452"/>
      <c r="G14" s="422"/>
      <c r="H14" s="13"/>
      <c r="I14" s="13"/>
      <c r="AJ14" s="26"/>
      <c r="AN14" s="30"/>
      <c r="AO14" s="30"/>
    </row>
    <row r="15" spans="1:42" s="8" customFormat="1" ht="13.5" thickBot="1">
      <c r="B15" s="25"/>
      <c r="E15" s="13"/>
      <c r="F15" s="25"/>
      <c r="G15" s="13"/>
      <c r="H15" s="13"/>
      <c r="I15" s="13"/>
      <c r="AJ15"/>
      <c r="AN15" s="26"/>
      <c r="AO15" s="26"/>
    </row>
    <row r="16" spans="1:42" ht="15.75">
      <c r="B16" s="19" t="s">
        <v>10</v>
      </c>
      <c r="C16" s="20"/>
      <c r="D16" s="27"/>
      <c r="E16" s="13"/>
      <c r="F16" s="378" t="s">
        <v>697</v>
      </c>
      <c r="G16" s="378"/>
      <c r="H16" s="330"/>
      <c r="I16" s="13"/>
      <c r="K16" s="453" t="s">
        <v>741</v>
      </c>
      <c r="L16" s="453"/>
    </row>
    <row r="17" spans="2:36" ht="13.15" customHeight="1">
      <c r="B17" s="22" t="s">
        <v>8</v>
      </c>
      <c r="C17" s="432" t="s">
        <v>485</v>
      </c>
      <c r="D17" s="432"/>
      <c r="E17" s="13"/>
      <c r="F17" s="331" t="s">
        <v>769</v>
      </c>
      <c r="G17" s="269">
        <v>40</v>
      </c>
      <c r="H17" s="330"/>
      <c r="I17" s="13"/>
      <c r="K17" s="453"/>
      <c r="L17" s="453"/>
    </row>
    <row r="18" spans="2:36" ht="13.15" customHeight="1">
      <c r="B18" s="22" t="s">
        <v>14</v>
      </c>
      <c r="C18" s="430" t="s">
        <v>243</v>
      </c>
      <c r="D18" s="431"/>
      <c r="E18" s="13"/>
      <c r="F18" s="433" t="s">
        <v>698</v>
      </c>
      <c r="G18" s="434"/>
      <c r="H18" s="330"/>
      <c r="I18" s="13"/>
      <c r="K18" s="454" t="s">
        <v>740</v>
      </c>
      <c r="L18" s="455"/>
    </row>
    <row r="19" spans="2:36" ht="13.15" customHeight="1">
      <c r="B19" s="22" t="s">
        <v>9</v>
      </c>
      <c r="C19" s="430" t="s">
        <v>486</v>
      </c>
      <c r="D19" s="431"/>
      <c r="E19" s="13"/>
      <c r="F19" s="331" t="s">
        <v>766</v>
      </c>
      <c r="G19" s="269">
        <v>60</v>
      </c>
      <c r="H19" s="330"/>
      <c r="I19" s="13"/>
    </row>
    <row r="20" spans="2:36" ht="15">
      <c r="B20" s="22" t="s">
        <v>592</v>
      </c>
      <c r="C20" s="412">
        <v>4</v>
      </c>
      <c r="D20" s="413"/>
      <c r="E20" s="13"/>
      <c r="F20" s="433" t="s">
        <v>699</v>
      </c>
      <c r="G20" s="434"/>
      <c r="H20" s="330"/>
      <c r="I20" s="13"/>
    </row>
    <row r="21" spans="2:36" ht="15">
      <c r="B21" s="22" t="s">
        <v>764</v>
      </c>
      <c r="C21" s="410">
        <v>16</v>
      </c>
      <c r="D21" s="411"/>
      <c r="E21" s="13"/>
      <c r="F21" s="349" t="s">
        <v>767</v>
      </c>
      <c r="G21" s="269">
        <v>40</v>
      </c>
      <c r="H21" s="330"/>
      <c r="I21" s="13"/>
    </row>
    <row r="22" spans="2:36" ht="15">
      <c r="B22" s="40" t="s">
        <v>593</v>
      </c>
      <c r="C22" s="410">
        <f>C30/C21*C20</f>
        <v>8</v>
      </c>
      <c r="D22" s="411"/>
      <c r="E22" s="13"/>
      <c r="F22" s="435" t="s">
        <v>700</v>
      </c>
      <c r="G22" s="436"/>
      <c r="H22" s="330"/>
      <c r="I22" s="13"/>
      <c r="J22" s="8"/>
    </row>
    <row r="23" spans="2:36" ht="13.15" customHeight="1">
      <c r="B23" s="22" t="s">
        <v>487</v>
      </c>
      <c r="C23" s="408">
        <v>2</v>
      </c>
      <c r="D23" s="409"/>
      <c r="E23" s="13"/>
      <c r="F23" s="347" t="s">
        <v>696</v>
      </c>
      <c r="G23" s="348" t="s">
        <v>193</v>
      </c>
      <c r="H23" s="330"/>
      <c r="I23" s="13"/>
      <c r="J23" s="8"/>
    </row>
    <row r="24" spans="2:36" ht="13.15" customHeight="1">
      <c r="B24" s="22" t="s">
        <v>637</v>
      </c>
      <c r="C24" s="365" t="str">
        <f>(2^C27*C21/8/1024)&amp;"KB"</f>
        <v>2KB</v>
      </c>
      <c r="D24" s="366"/>
      <c r="E24" s="13"/>
      <c r="F24" s="437" t="s">
        <v>760</v>
      </c>
      <c r="G24" s="438"/>
      <c r="H24" s="438"/>
      <c r="I24" s="439"/>
      <c r="J24" s="8"/>
    </row>
    <row r="25" spans="2:36" ht="15">
      <c r="B25" s="22" t="s">
        <v>34</v>
      </c>
      <c r="C25" s="365">
        <f>(C22*C23)</f>
        <v>16</v>
      </c>
      <c r="D25" s="366"/>
      <c r="E25" s="13"/>
      <c r="F25" s="440"/>
      <c r="G25" s="441"/>
      <c r="H25" s="441"/>
      <c r="I25" s="442"/>
      <c r="J25" s="8"/>
    </row>
    <row r="26" spans="2:36" ht="15" customHeight="1">
      <c r="B26" s="22" t="s">
        <v>26</v>
      </c>
      <c r="C26" s="408">
        <v>15</v>
      </c>
      <c r="D26" s="409"/>
      <c r="E26" s="13"/>
      <c r="F26" s="440"/>
      <c r="G26" s="441"/>
      <c r="H26" s="441"/>
      <c r="I26" s="442"/>
      <c r="J26" s="8"/>
    </row>
    <row r="27" spans="2:36" ht="15" customHeight="1">
      <c r="B27" s="22" t="s">
        <v>27</v>
      </c>
      <c r="C27" s="408">
        <v>10</v>
      </c>
      <c r="D27" s="409"/>
      <c r="E27" s="13"/>
      <c r="F27" s="443"/>
      <c r="G27" s="444"/>
      <c r="H27" s="444"/>
      <c r="I27" s="445"/>
      <c r="J27" s="8"/>
    </row>
    <row r="28" spans="2:36" ht="15">
      <c r="B28" s="22" t="s">
        <v>95</v>
      </c>
      <c r="C28" s="370">
        <v>3</v>
      </c>
      <c r="D28" s="371"/>
      <c r="E28" s="13"/>
      <c r="F28" s="116"/>
      <c r="G28" s="330"/>
      <c r="H28" s="330"/>
      <c r="I28" s="13"/>
      <c r="J28" s="8"/>
    </row>
    <row r="29" spans="2:36" ht="15">
      <c r="B29" s="22" t="s">
        <v>28</v>
      </c>
      <c r="C29" s="365">
        <f>(2^C28)</f>
        <v>8</v>
      </c>
      <c r="D29" s="366"/>
      <c r="E29" s="13"/>
      <c r="F29" s="116"/>
      <c r="G29" s="329"/>
      <c r="H29" s="329"/>
      <c r="I29" s="13"/>
      <c r="J29" s="8"/>
    </row>
    <row r="30" spans="2:36">
      <c r="B30" s="23" t="s">
        <v>765</v>
      </c>
      <c r="C30" s="369">
        <v>32</v>
      </c>
      <c r="D30" s="369"/>
      <c r="E30" s="13"/>
      <c r="F30" s="447" t="s">
        <v>744</v>
      </c>
      <c r="G30" s="116"/>
      <c r="H30" s="13"/>
      <c r="I30" s="13"/>
      <c r="J30" s="8"/>
    </row>
    <row r="31" spans="2:36" ht="14.25" customHeight="1">
      <c r="B31" s="23" t="s">
        <v>25</v>
      </c>
      <c r="C31" s="408">
        <v>800</v>
      </c>
      <c r="D31" s="409"/>
      <c r="E31" s="13"/>
      <c r="F31" s="447"/>
      <c r="G31" s="116"/>
      <c r="H31" s="13"/>
      <c r="I31" s="13"/>
      <c r="J31" s="8"/>
    </row>
    <row r="32" spans="2:36" ht="15.75" thickBot="1">
      <c r="B32" s="24" t="s">
        <v>11</v>
      </c>
      <c r="C32" s="365">
        <f>ROUNDDOWN((1/C31)*1000, 3)</f>
        <v>1.25</v>
      </c>
      <c r="D32" s="366"/>
      <c r="E32" s="13"/>
      <c r="F32" s="337">
        <v>1</v>
      </c>
      <c r="G32" s="116"/>
      <c r="H32" s="13"/>
      <c r="I32" s="13"/>
      <c r="J32" s="8"/>
      <c r="AJ32" s="8"/>
    </row>
    <row r="33" spans="1:36" ht="15">
      <c r="B33" s="66" t="s">
        <v>226</v>
      </c>
      <c r="C33" s="414" t="s">
        <v>266</v>
      </c>
      <c r="D33" s="415"/>
      <c r="E33" s="13"/>
      <c r="G33" s="47"/>
      <c r="H33" s="13"/>
      <c r="I33" s="13"/>
      <c r="J33" s="8"/>
      <c r="AJ33" s="8"/>
    </row>
    <row r="34" spans="1:36">
      <c r="B34" s="66"/>
      <c r="C34" s="367"/>
      <c r="D34" s="368"/>
      <c r="E34" s="13"/>
      <c r="F34" s="324"/>
      <c r="G34" s="47"/>
      <c r="H34" s="13"/>
      <c r="I34" s="13"/>
      <c r="J34" s="8"/>
      <c r="AJ34" s="8"/>
    </row>
    <row r="35" spans="1:36">
      <c r="B35" s="363" t="s">
        <v>693</v>
      </c>
      <c r="C35" s="446"/>
      <c r="D35" s="446"/>
      <c r="E35" s="13"/>
      <c r="F35" s="325"/>
      <c r="G35" s="29"/>
      <c r="H35" s="13"/>
      <c r="I35" s="13"/>
      <c r="J35" s="8"/>
      <c r="AJ35" s="8"/>
    </row>
    <row r="36" spans="1:36">
      <c r="B36" s="363" t="s">
        <v>24</v>
      </c>
      <c r="C36" s="364"/>
      <c r="D36" s="364"/>
      <c r="E36" s="13"/>
      <c r="F36" s="325"/>
      <c r="G36" s="29"/>
      <c r="H36" s="13"/>
      <c r="I36" s="13"/>
      <c r="J36" s="8"/>
      <c r="AJ36" s="8"/>
    </row>
    <row r="37" spans="1:36">
      <c r="B37" s="363"/>
      <c r="C37" s="364"/>
      <c r="D37" s="364"/>
      <c r="E37" s="13"/>
      <c r="F37" s="325"/>
      <c r="G37" s="29"/>
      <c r="H37" s="13"/>
      <c r="I37" s="13"/>
      <c r="J37" s="8"/>
      <c r="L37" s="41"/>
      <c r="M37" s="41"/>
      <c r="AJ37" s="8"/>
    </row>
    <row r="38" spans="1:36" s="41" customFormat="1" ht="13.5" thickBot="1">
      <c r="B38" s="42"/>
      <c r="C38" s="42"/>
      <c r="D38" s="42"/>
      <c r="E38" s="43"/>
      <c r="F38" s="44"/>
      <c r="G38" s="44"/>
      <c r="H38" s="42"/>
      <c r="I38" s="42"/>
      <c r="L38" s="8"/>
      <c r="M38" s="8"/>
      <c r="AI38" s="6"/>
    </row>
    <row r="39" spans="1:36" ht="39" thickBot="1">
      <c r="B39" s="2" t="s">
        <v>79</v>
      </c>
      <c r="C39" s="2" t="s">
        <v>5</v>
      </c>
      <c r="D39" s="2" t="s">
        <v>7</v>
      </c>
      <c r="E39" s="2" t="s">
        <v>6</v>
      </c>
      <c r="F39" s="4" t="s">
        <v>1</v>
      </c>
      <c r="G39" s="46" t="s">
        <v>3</v>
      </c>
      <c r="H39" s="5" t="s">
        <v>227</v>
      </c>
      <c r="I39" s="5" t="s">
        <v>4</v>
      </c>
      <c r="J39" s="18"/>
      <c r="AJ39" s="8"/>
    </row>
    <row r="40" spans="1:36" ht="13.5" thickBot="1">
      <c r="B40" s="37"/>
      <c r="C40" s="37"/>
      <c r="D40" s="37"/>
      <c r="E40" s="37"/>
      <c r="F40" s="38"/>
      <c r="G40" s="39"/>
      <c r="H40" s="39"/>
      <c r="I40" s="39"/>
      <c r="J40" s="18"/>
      <c r="AJ40" s="8"/>
    </row>
    <row r="41" spans="1:36" ht="102">
      <c r="B41" s="152" t="s">
        <v>198</v>
      </c>
      <c r="C41" s="153" t="s">
        <v>0</v>
      </c>
      <c r="D41" s="109">
        <f>IF(C21= 16, 2, 1)</f>
        <v>2</v>
      </c>
      <c r="E41" s="249" t="str">
        <f>DEC2HEX(((D41)*2^30),8)</f>
        <v>80000000</v>
      </c>
      <c r="F41" s="85" t="s">
        <v>701</v>
      </c>
      <c r="G41" s="372" t="s">
        <v>36</v>
      </c>
      <c r="H41" s="372" t="str">
        <f>"0x"&amp;DEC2HEX((HEX2DEC(C33)), 8)</f>
        <v>0x3D400000</v>
      </c>
      <c r="I41" s="375" t="str">
        <f>"0x"&amp;DEC2HEX((HEX2DEC(E41)+HEX2DEC(E42)+HEX2DEC(E43)+HEX2DEC(E44)+HEX2DEC(E45)+HEX2DEC(E46)+HEX2DEC(E47)+HEX2DEC(E48)+HEX2DEC(E49)+HEX2DEC(E50)+HEX2DEC(E51)+HEX2DEC(E52)+HEX2DEC(E53)),8)</f>
        <v>0xA3040001</v>
      </c>
      <c r="J41" s="18"/>
      <c r="AJ41" s="8"/>
    </row>
    <row r="42" spans="1:36" ht="38.25">
      <c r="B42" s="154" t="s">
        <v>201</v>
      </c>
      <c r="C42" s="95" t="s">
        <v>0</v>
      </c>
      <c r="D42" s="157">
        <v>1</v>
      </c>
      <c r="E42" s="83" t="str">
        <f>DEC2HEX(((D42)*2^29),8)</f>
        <v>20000000</v>
      </c>
      <c r="F42" s="156" t="s">
        <v>200</v>
      </c>
      <c r="G42" s="404"/>
      <c r="H42" s="404"/>
      <c r="I42" s="376"/>
      <c r="J42" s="18"/>
      <c r="AJ42" s="8"/>
    </row>
    <row r="43" spans="1:36" ht="89.25">
      <c r="A43" s="6"/>
      <c r="B43" s="58" t="s">
        <v>111</v>
      </c>
      <c r="C43" s="95" t="s">
        <v>0</v>
      </c>
      <c r="D43" s="147">
        <f>IF(C23=1, 1, 3)</f>
        <v>3</v>
      </c>
      <c r="E43" s="333" t="str">
        <f>DEC2HEX(((D43)*2^24),8)</f>
        <v>03000000</v>
      </c>
      <c r="F43" s="124" t="s">
        <v>199</v>
      </c>
      <c r="G43" s="373"/>
      <c r="H43" s="373"/>
      <c r="I43" s="376"/>
      <c r="J43" s="18"/>
    </row>
    <row r="44" spans="1:36" ht="127.5">
      <c r="B44" s="58" t="s">
        <v>112</v>
      </c>
      <c r="C44" s="60" t="s">
        <v>0</v>
      </c>
      <c r="D44" s="210">
        <f>IF(C17="LPDDR2",2,(IF(C17="LPDDR4",8,4)))</f>
        <v>4</v>
      </c>
      <c r="E44" s="333" t="str">
        <f>DEC2HEX(((D44)*2^16),8)</f>
        <v>00040000</v>
      </c>
      <c r="F44" s="124" t="s">
        <v>205</v>
      </c>
      <c r="G44" s="373"/>
      <c r="H44" s="373"/>
      <c r="I44" s="376"/>
      <c r="J44" s="81"/>
    </row>
    <row r="45" spans="1:36" ht="63.75">
      <c r="B45" s="58" t="s">
        <v>113</v>
      </c>
      <c r="C45" s="60" t="s">
        <v>0</v>
      </c>
      <c r="D45" s="118">
        <v>0</v>
      </c>
      <c r="E45" s="333" t="str">
        <f>DEC2HEX(((D45)*2^15),8)</f>
        <v>00000000</v>
      </c>
      <c r="F45" s="124" t="s">
        <v>37</v>
      </c>
      <c r="G45" s="373"/>
      <c r="H45" s="373"/>
      <c r="I45" s="376"/>
      <c r="J45" s="18"/>
    </row>
    <row r="46" spans="1:36" ht="102">
      <c r="B46" s="58" t="s">
        <v>114</v>
      </c>
      <c r="C46" s="60" t="s">
        <v>0</v>
      </c>
      <c r="D46" s="118">
        <f>IF(C30= 32, 0, 1)</f>
        <v>0</v>
      </c>
      <c r="E46" s="333" t="str">
        <f>DEC2HEX(((D46)*2^12),8)</f>
        <v>00000000</v>
      </c>
      <c r="F46" s="124" t="s">
        <v>195</v>
      </c>
      <c r="G46" s="373"/>
      <c r="H46" s="373"/>
      <c r="I46" s="376"/>
      <c r="J46" s="18"/>
    </row>
    <row r="47" spans="1:36" ht="76.5">
      <c r="B47" s="58" t="s">
        <v>115</v>
      </c>
      <c r="C47" s="60" t="s">
        <v>0</v>
      </c>
      <c r="D47" s="118">
        <v>0</v>
      </c>
      <c r="E47" s="333" t="str">
        <f>DEC2HEX(((D47)*2^9),8)</f>
        <v>00000000</v>
      </c>
      <c r="F47" s="124" t="s">
        <v>202</v>
      </c>
      <c r="G47" s="373"/>
      <c r="H47" s="373"/>
      <c r="I47" s="376"/>
      <c r="J47" s="18"/>
    </row>
    <row r="48" spans="1:36" ht="51">
      <c r="B48" s="58" t="s">
        <v>116</v>
      </c>
      <c r="C48" s="60" t="s">
        <v>0</v>
      </c>
      <c r="D48" s="118">
        <v>0</v>
      </c>
      <c r="E48" s="333" t="str">
        <f>DEC2HEX(((D48)*2^8),8)</f>
        <v>00000000</v>
      </c>
      <c r="F48" s="124" t="s">
        <v>154</v>
      </c>
      <c r="G48" s="373"/>
      <c r="H48" s="373"/>
      <c r="I48" s="376"/>
      <c r="J48" s="18"/>
    </row>
    <row r="49" spans="2:10" ht="89.25">
      <c r="B49" s="58" t="s">
        <v>196</v>
      </c>
      <c r="C49" s="60" t="s">
        <v>0</v>
      </c>
      <c r="D49" s="147">
        <f>IF(C17 = "lpddr4",1,0)</f>
        <v>0</v>
      </c>
      <c r="E49" s="333" t="str">
        <f>DEC2HEX(((D49)*2^5),8)</f>
        <v>00000000</v>
      </c>
      <c r="F49" s="124" t="s">
        <v>203</v>
      </c>
      <c r="G49" s="373"/>
      <c r="H49" s="373"/>
      <c r="I49" s="376"/>
      <c r="J49" s="18"/>
    </row>
    <row r="50" spans="2:10" ht="89.25">
      <c r="B50" s="58" t="s">
        <v>197</v>
      </c>
      <c r="C50" s="60" t="s">
        <v>0</v>
      </c>
      <c r="D50" s="147">
        <f>IF(C17 = "ddr4",1,0)</f>
        <v>0</v>
      </c>
      <c r="E50" s="333" t="str">
        <f>DEC2HEX(((D50)*2^4),8)</f>
        <v>00000000</v>
      </c>
      <c r="F50" s="124" t="s">
        <v>204</v>
      </c>
      <c r="G50" s="373"/>
      <c r="H50" s="373"/>
      <c r="I50" s="376"/>
      <c r="J50" s="18"/>
    </row>
    <row r="51" spans="2:10" ht="89.25">
      <c r="B51" s="58" t="s">
        <v>35</v>
      </c>
      <c r="C51" s="60" t="s">
        <v>0</v>
      </c>
      <c r="D51" s="147">
        <f>IF(C17 = "lpddr3",1,0)</f>
        <v>0</v>
      </c>
      <c r="E51" s="333" t="str">
        <f>DEC2HEX(((D51)*2^3),8)</f>
        <v>00000000</v>
      </c>
      <c r="F51" s="124" t="s">
        <v>118</v>
      </c>
      <c r="G51" s="373"/>
      <c r="H51" s="373"/>
      <c r="I51" s="376"/>
      <c r="J51" s="18"/>
    </row>
    <row r="52" spans="2:10" ht="89.25">
      <c r="B52" s="58" t="s">
        <v>13</v>
      </c>
      <c r="C52" s="60" t="s">
        <v>0</v>
      </c>
      <c r="D52" s="147">
        <f>IF(C17 = "lpddr2",1,0)</f>
        <v>0</v>
      </c>
      <c r="E52" s="333" t="str">
        <f>DEC2HEX(((D52)*2^2),8)</f>
        <v>00000000</v>
      </c>
      <c r="F52" s="124" t="s">
        <v>119</v>
      </c>
      <c r="G52" s="373"/>
      <c r="H52" s="373"/>
      <c r="I52" s="376"/>
      <c r="J52" s="18"/>
    </row>
    <row r="53" spans="2:10" ht="90" thickBot="1">
      <c r="B53" s="59" t="s">
        <v>117</v>
      </c>
      <c r="C53" s="62" t="s">
        <v>0</v>
      </c>
      <c r="D53" s="107">
        <f>IF(C17 = "ddr3l",1,0)</f>
        <v>1</v>
      </c>
      <c r="E53" s="334" t="str">
        <f>DEC2HEX(((D53)*2^0),8)</f>
        <v>00000001</v>
      </c>
      <c r="F53" s="127" t="s">
        <v>120</v>
      </c>
      <c r="G53" s="374"/>
      <c r="H53" s="374"/>
      <c r="I53" s="377"/>
      <c r="J53" s="18"/>
    </row>
    <row r="54" spans="2:10" ht="15.75" thickBot="1">
      <c r="B54" s="75"/>
      <c r="C54" s="76"/>
      <c r="D54" s="111"/>
      <c r="E54" s="36"/>
      <c r="F54" s="72"/>
      <c r="G54" s="75"/>
      <c r="H54" s="75"/>
      <c r="I54" s="75"/>
      <c r="J54" s="18"/>
    </row>
    <row r="55" spans="2:10" ht="127.5">
      <c r="B55" s="152" t="s">
        <v>489</v>
      </c>
      <c r="C55" s="153" t="s">
        <v>0</v>
      </c>
      <c r="D55" s="254">
        <v>0</v>
      </c>
      <c r="E55" s="249" t="str">
        <f>DEC2HEX(((D55)*2^31),8)</f>
        <v>00000000</v>
      </c>
      <c r="F55" s="85" t="s">
        <v>490</v>
      </c>
      <c r="G55" s="372" t="s">
        <v>491</v>
      </c>
      <c r="H55" s="372" t="str">
        <f>"0x"&amp;DEC2HEX((HEX2DEC(C33)+HEX2DEC(10)), 8)</f>
        <v>0x3D400010</v>
      </c>
      <c r="I55" s="375" t="str">
        <f>"0x"&amp;DEC2HEX((HEX2DEC(E55)+HEX2DEC(E56)+HEX2DEC(E57)+HEX2DEC(E58)+HEX2DEC(E59)+HEX2DEC(E60)+HEX2DEC(E61)+HEX2DEC(E62)+HEX2DEC(E63)),8)</f>
        <v>0x40004030</v>
      </c>
      <c r="J55" s="18"/>
    </row>
    <row r="56" spans="2:10" ht="127.5">
      <c r="B56" s="58" t="s">
        <v>492</v>
      </c>
      <c r="C56" s="60" t="s">
        <v>0</v>
      </c>
      <c r="D56" s="118">
        <v>1</v>
      </c>
      <c r="E56" s="287" t="str">
        <f>DEC2HEX(((D56)*2^30),8)</f>
        <v>40000000</v>
      </c>
      <c r="F56" s="124" t="s">
        <v>493</v>
      </c>
      <c r="G56" s="373"/>
      <c r="H56" s="373"/>
      <c r="I56" s="376"/>
      <c r="J56" s="18"/>
    </row>
    <row r="57" spans="2:10" ht="102">
      <c r="B57" s="58" t="s">
        <v>494</v>
      </c>
      <c r="C57" s="60" t="s">
        <v>0</v>
      </c>
      <c r="D57" s="118">
        <v>0</v>
      </c>
      <c r="E57" s="287" t="str">
        <f>DEC2HEX(((D57)*2^16),8)</f>
        <v>00000000</v>
      </c>
      <c r="F57" s="124" t="s">
        <v>495</v>
      </c>
      <c r="G57" s="373"/>
      <c r="H57" s="373"/>
      <c r="I57" s="376"/>
      <c r="J57" s="18"/>
    </row>
    <row r="58" spans="2:10" ht="280.5">
      <c r="B58" s="58" t="s">
        <v>496</v>
      </c>
      <c r="C58" s="60" t="s">
        <v>0</v>
      </c>
      <c r="D58" s="147">
        <f>IF(C17 = "DDR3L",4,0)</f>
        <v>4</v>
      </c>
      <c r="E58" s="287" t="str">
        <f>DEC2HEX(((D58)*2^12),8)</f>
        <v>00004000</v>
      </c>
      <c r="F58" s="124" t="s">
        <v>497</v>
      </c>
      <c r="G58" s="373"/>
      <c r="H58" s="373"/>
      <c r="I58" s="376"/>
      <c r="J58" s="18"/>
    </row>
    <row r="59" spans="2:10" ht="216.75">
      <c r="B59" s="58" t="s">
        <v>498</v>
      </c>
      <c r="C59" s="60" t="s">
        <v>0</v>
      </c>
      <c r="D59" s="147">
        <f>IF(C23 = 1,1,3)</f>
        <v>3</v>
      </c>
      <c r="E59" s="287" t="str">
        <f>DEC2HEX(((D59)*2^4),8)</f>
        <v>00000030</v>
      </c>
      <c r="F59" s="124" t="s">
        <v>499</v>
      </c>
      <c r="G59" s="373"/>
      <c r="H59" s="373"/>
      <c r="I59" s="376"/>
      <c r="J59" s="18"/>
    </row>
    <row r="60" spans="2:10" ht="204">
      <c r="B60" s="58" t="s">
        <v>500</v>
      </c>
      <c r="C60" s="60" t="s">
        <v>0</v>
      </c>
      <c r="D60" s="118">
        <v>0</v>
      </c>
      <c r="E60" s="287" t="str">
        <f>DEC2HEX(((D60)*2^3),8)</f>
        <v>00000000</v>
      </c>
      <c r="F60" s="124" t="s">
        <v>501</v>
      </c>
      <c r="G60" s="373"/>
      <c r="H60" s="373"/>
      <c r="I60" s="376"/>
      <c r="J60" s="18"/>
    </row>
    <row r="61" spans="2:10" ht="114.75">
      <c r="B61" s="58" t="s">
        <v>502</v>
      </c>
      <c r="C61" s="60" t="s">
        <v>0</v>
      </c>
      <c r="D61" s="118">
        <v>0</v>
      </c>
      <c r="E61" s="287" t="str">
        <f>DEC2HEX(((D61)*2^2),8)</f>
        <v>00000000</v>
      </c>
      <c r="F61" s="124" t="s">
        <v>503</v>
      </c>
      <c r="G61" s="373"/>
      <c r="H61" s="373"/>
      <c r="I61" s="376"/>
      <c r="J61" s="18"/>
    </row>
    <row r="62" spans="2:10" ht="90" thickBot="1">
      <c r="B62" s="58" t="s">
        <v>504</v>
      </c>
      <c r="C62" s="60" t="s">
        <v>0</v>
      </c>
      <c r="D62" s="118">
        <v>0</v>
      </c>
      <c r="E62" s="287" t="str">
        <f>DEC2HEX(((D62)*2^1),8)</f>
        <v>00000000</v>
      </c>
      <c r="F62" s="127" t="s">
        <v>505</v>
      </c>
      <c r="G62" s="373"/>
      <c r="H62" s="373"/>
      <c r="I62" s="376"/>
      <c r="J62" s="18"/>
    </row>
    <row r="63" spans="2:10" ht="90" thickBot="1">
      <c r="B63" s="59" t="s">
        <v>506</v>
      </c>
      <c r="C63" s="62" t="s">
        <v>0</v>
      </c>
      <c r="D63" s="292">
        <v>0</v>
      </c>
      <c r="E63" s="288" t="str">
        <f>DEC2HEX(((D63)*2^0),8)</f>
        <v>00000000</v>
      </c>
      <c r="F63" s="127" t="s">
        <v>507</v>
      </c>
      <c r="G63" s="374"/>
      <c r="H63" s="374"/>
      <c r="I63" s="377"/>
      <c r="J63" s="18"/>
    </row>
    <row r="64" spans="2:10" ht="15.75" thickBot="1">
      <c r="B64" s="75"/>
      <c r="C64" s="76"/>
      <c r="D64" s="111"/>
      <c r="E64" s="36"/>
      <c r="F64" s="72"/>
      <c r="G64" s="75"/>
      <c r="H64" s="75"/>
      <c r="I64" s="75"/>
      <c r="J64" s="18"/>
    </row>
    <row r="65" spans="1:11" ht="13.5" thickBot="1">
      <c r="B65" s="396" t="s">
        <v>155</v>
      </c>
      <c r="C65" s="397"/>
      <c r="D65" s="397"/>
      <c r="E65" s="397"/>
      <c r="F65" s="397"/>
      <c r="G65" s="397"/>
      <c r="H65" s="397"/>
      <c r="I65" s="398"/>
      <c r="J65" s="18"/>
      <c r="K65" s="65"/>
    </row>
    <row r="66" spans="1:11" ht="51">
      <c r="B66" s="57" t="s">
        <v>156</v>
      </c>
      <c r="C66" s="64" t="s">
        <v>0</v>
      </c>
      <c r="D66" s="56">
        <v>0</v>
      </c>
      <c r="E66" s="215" t="str">
        <f>DEC2HEX(((D66)*2^8),8)</f>
        <v>00000000</v>
      </c>
      <c r="F66" s="125" t="s">
        <v>96</v>
      </c>
      <c r="G66" s="361" t="s">
        <v>57</v>
      </c>
      <c r="H66" s="361" t="str">
        <f>"0x"&amp;DEC2HEX((HEX2DEC(C33)+512), 8)</f>
        <v>0x3D400200</v>
      </c>
      <c r="I66" s="362" t="str">
        <f>"0x"&amp;DEC2HEX((HEX2DEC(E66)+HEX2DEC(E67)), 8)</f>
        <v>0x00000016</v>
      </c>
      <c r="J66" s="18"/>
      <c r="K66" s="65"/>
    </row>
    <row r="67" spans="1:11" ht="90" thickBot="1">
      <c r="B67" s="59" t="s">
        <v>157</v>
      </c>
      <c r="C67" s="62" t="s">
        <v>0</v>
      </c>
      <c r="D67" s="122">
        <f>IF(C23=1, 31, IF(C25=24, 21, IF(C30=32, (C26+C27+C28-6), (C26+C27+C28-6 - 1))))</f>
        <v>22</v>
      </c>
      <c r="E67" s="216" t="str">
        <f>DEC2HEX(((D67)*2^0),8)</f>
        <v>00000016</v>
      </c>
      <c r="F67" s="127" t="s">
        <v>80</v>
      </c>
      <c r="G67" s="354"/>
      <c r="H67" s="354"/>
      <c r="I67" s="357"/>
      <c r="J67" s="18"/>
      <c r="K67" s="65"/>
    </row>
    <row r="68" spans="1:11" ht="13.5" thickBot="1">
      <c r="B68" s="68"/>
      <c r="C68" s="69"/>
      <c r="D68" s="70"/>
      <c r="E68" s="71"/>
      <c r="F68" s="130"/>
      <c r="G68" s="36"/>
      <c r="H68" s="36"/>
      <c r="I68" s="54"/>
      <c r="J68" s="18"/>
      <c r="K68" s="65"/>
    </row>
    <row r="69" spans="1:11" ht="89.25">
      <c r="B69" s="57" t="s">
        <v>158</v>
      </c>
      <c r="C69" s="64" t="s">
        <v>0</v>
      </c>
      <c r="D69" s="108">
        <f>D71</f>
        <v>8</v>
      </c>
      <c r="E69" s="51" t="str">
        <f>DEC2HEX(((D69)*2^16),8)</f>
        <v>00080000</v>
      </c>
      <c r="F69" s="125" t="s">
        <v>81</v>
      </c>
      <c r="G69" s="361" t="s">
        <v>58</v>
      </c>
      <c r="H69" s="361" t="str">
        <f>"0x"&amp;DEC2HEX((HEX2DEC(C33)+516), 8)</f>
        <v>0x3D400204</v>
      </c>
      <c r="I69" s="362" t="str">
        <f>"0x"&amp;DEC2HEX((HEX2DEC(E69)+HEX2DEC(E70)+HEX2DEC(E71)), 8)</f>
        <v>0x00080808</v>
      </c>
      <c r="J69" s="18"/>
      <c r="K69" s="65"/>
    </row>
    <row r="70" spans="1:11" ht="76.5">
      <c r="B70" s="74" t="s">
        <v>159</v>
      </c>
      <c r="C70" s="60" t="s">
        <v>0</v>
      </c>
      <c r="D70" s="106">
        <f>D71</f>
        <v>8</v>
      </c>
      <c r="E70" s="52" t="str">
        <f>DEC2HEX(((D70)*2^8),8)</f>
        <v>00000800</v>
      </c>
      <c r="F70" s="222" t="s">
        <v>82</v>
      </c>
      <c r="G70" s="353"/>
      <c r="H70" s="353"/>
      <c r="I70" s="356"/>
      <c r="J70" s="18"/>
      <c r="K70" s="65"/>
    </row>
    <row r="71" spans="1:11" ht="77.25" thickBot="1">
      <c r="B71" s="59" t="s">
        <v>160</v>
      </c>
      <c r="C71" s="62" t="s">
        <v>0</v>
      </c>
      <c r="D71" s="107">
        <f>IF(C30=32,(C27-2), (C27-2-1))</f>
        <v>8</v>
      </c>
      <c r="E71" s="53" t="str">
        <f>DEC2HEX(((D71)*2^0),8)</f>
        <v>00000008</v>
      </c>
      <c r="F71" s="127" t="s">
        <v>83</v>
      </c>
      <c r="G71" s="354"/>
      <c r="H71" s="354"/>
      <c r="I71" s="357"/>
      <c r="J71" s="18"/>
      <c r="K71" s="65"/>
    </row>
    <row r="72" spans="1:11" ht="15.75" thickBot="1">
      <c r="B72" s="75"/>
      <c r="C72" s="76"/>
      <c r="D72" s="111"/>
      <c r="E72" s="36"/>
      <c r="F72" s="130"/>
      <c r="G72" s="80"/>
      <c r="H72" s="80"/>
      <c r="I72" s="80"/>
      <c r="J72" s="18"/>
      <c r="K72" s="65"/>
    </row>
    <row r="73" spans="1:11" ht="178.5">
      <c r="B73" s="57" t="s">
        <v>554</v>
      </c>
      <c r="C73" s="64" t="s">
        <v>0</v>
      </c>
      <c r="D73" s="87">
        <v>0</v>
      </c>
      <c r="E73" s="289" t="str">
        <f>DEC2HEX(((D73)*2^24),8)</f>
        <v>00000000</v>
      </c>
      <c r="F73" s="125" t="s">
        <v>555</v>
      </c>
      <c r="G73" s="393" t="s">
        <v>549</v>
      </c>
      <c r="H73" s="352" t="str">
        <f>"0x"&amp;DEC2HEX((HEX2DEC(C33)+520), 8)</f>
        <v>0x3D400208</v>
      </c>
      <c r="I73" s="362" t="str">
        <f>"0x"&amp;DEC2HEX((HEX2DEC(E73)+HEX2DEC(E74)+HEX2DEC(E75)+HEX2DEC(E76)), 8)</f>
        <v>0x00000000</v>
      </c>
      <c r="J73" s="18"/>
      <c r="K73" s="65"/>
    </row>
    <row r="74" spans="1:11" ht="178.5">
      <c r="B74" s="58" t="s">
        <v>553</v>
      </c>
      <c r="C74" s="60" t="s">
        <v>0</v>
      </c>
      <c r="D74" s="210">
        <v>0</v>
      </c>
      <c r="E74" s="290" t="str">
        <f>DEC2HEX(((D74)*2^16),8)</f>
        <v>00000000</v>
      </c>
      <c r="F74" s="328" t="s">
        <v>684</v>
      </c>
      <c r="G74" s="353"/>
      <c r="H74" s="353"/>
      <c r="I74" s="356"/>
      <c r="J74" s="18"/>
      <c r="K74" s="65"/>
    </row>
    <row r="75" spans="1:11" s="12" customFormat="1" ht="204">
      <c r="B75" s="58" t="s">
        <v>552</v>
      </c>
      <c r="C75" s="60" t="s">
        <v>0</v>
      </c>
      <c r="D75" s="210">
        <v>0</v>
      </c>
      <c r="E75" s="290" t="str">
        <f>DEC2HEX(((D75)*2^8),8)</f>
        <v>00000000</v>
      </c>
      <c r="F75" s="328" t="s">
        <v>683</v>
      </c>
      <c r="G75" s="353"/>
      <c r="H75" s="353"/>
      <c r="I75" s="356"/>
    </row>
    <row r="76" spans="1:11" s="12" customFormat="1" ht="409.6" thickBot="1">
      <c r="B76" s="59" t="s">
        <v>550</v>
      </c>
      <c r="C76" s="62" t="s">
        <v>0</v>
      </c>
      <c r="D76" s="150">
        <v>0</v>
      </c>
      <c r="E76" s="291" t="str">
        <f>DEC2HEX(((D76)*2^0),8)</f>
        <v>00000000</v>
      </c>
      <c r="F76" s="127" t="s">
        <v>551</v>
      </c>
      <c r="G76" s="354"/>
      <c r="H76" s="354"/>
      <c r="I76" s="357"/>
    </row>
    <row r="77" spans="1:11" s="12" customFormat="1" ht="15.75" thickBot="1">
      <c r="B77" s="239"/>
      <c r="C77" s="239"/>
      <c r="D77" s="144"/>
      <c r="E77" s="240"/>
      <c r="F77" s="326"/>
      <c r="G77" s="241"/>
      <c r="H77" s="241"/>
      <c r="I77" s="242"/>
    </row>
    <row r="78" spans="1:11" ht="382.5">
      <c r="A78" s="6"/>
      <c r="B78" s="57" t="s">
        <v>258</v>
      </c>
      <c r="C78" s="64" t="s">
        <v>0</v>
      </c>
      <c r="D78" s="87">
        <f>IF(C30=32, IF(C27&gt;9, 0, 31), IF(C27&gt;10, 0, 31))</f>
        <v>0</v>
      </c>
      <c r="E78" s="236" t="str">
        <f>DEC2HEX(((D78)*2^24),8)</f>
        <v>00000000</v>
      </c>
      <c r="F78" s="125" t="s">
        <v>474</v>
      </c>
      <c r="G78" s="393" t="s">
        <v>259</v>
      </c>
      <c r="H78" s="352" t="str">
        <f>"0x"&amp;DEC2HEX((HEX2DEC(C33)+524), 8)</f>
        <v>0x3D40020C</v>
      </c>
      <c r="I78" s="362" t="str">
        <f>"0x"&amp;DEC2HEX((HEX2DEC(E78)+HEX2DEC(E79)+HEX2DEC(E80)+HEX2DEC(E81)), 8)</f>
        <v>0x00000000</v>
      </c>
      <c r="J78" s="18"/>
      <c r="K78" s="65"/>
    </row>
    <row r="79" spans="1:11" ht="344.25">
      <c r="A79" s="6"/>
      <c r="B79" s="58" t="s">
        <v>260</v>
      </c>
      <c r="C79" s="60" t="s">
        <v>0</v>
      </c>
      <c r="D79" s="210">
        <f>IF(C30=32, IF(C27&gt;8, 0, 31), IF(C27&gt;9, 0, 31))</f>
        <v>0</v>
      </c>
      <c r="E79" s="237" t="str">
        <f>DEC2HEX(((D79)*2^16),8)</f>
        <v>00000000</v>
      </c>
      <c r="F79" s="124" t="s">
        <v>475</v>
      </c>
      <c r="G79" s="353"/>
      <c r="H79" s="353"/>
      <c r="I79" s="356"/>
      <c r="J79" s="18"/>
      <c r="K79" s="65"/>
    </row>
    <row r="80" spans="1:11" ht="242.25">
      <c r="A80" s="6"/>
      <c r="B80" s="58" t="s">
        <v>261</v>
      </c>
      <c r="C80" s="60" t="s">
        <v>0</v>
      </c>
      <c r="D80" s="210">
        <f>IF(C30=32, IF(C27&gt;7, 0, 31), IF(C27&gt;8, 0, 31))</f>
        <v>0</v>
      </c>
      <c r="E80" s="237" t="str">
        <f>DEC2HEX(((D80)*2^8),8)</f>
        <v>00000000</v>
      </c>
      <c r="F80" s="124" t="s">
        <v>476</v>
      </c>
      <c r="G80" s="353"/>
      <c r="H80" s="353"/>
      <c r="I80" s="356"/>
      <c r="J80" s="18"/>
      <c r="K80" s="65"/>
    </row>
    <row r="81" spans="1:11" ht="166.5" thickBot="1">
      <c r="A81" s="6"/>
      <c r="B81" s="59" t="s">
        <v>262</v>
      </c>
      <c r="C81" s="62" t="s">
        <v>0</v>
      </c>
      <c r="D81" s="150">
        <f>IF(C30=32, IF(C27&gt;6, 0, 15), IF(C27&gt;7, 0, 15))</f>
        <v>0</v>
      </c>
      <c r="E81" s="238" t="str">
        <f>DEC2HEX(((D81)*2^0),8)</f>
        <v>00000000</v>
      </c>
      <c r="F81" s="127" t="s">
        <v>263</v>
      </c>
      <c r="G81" s="354"/>
      <c r="H81" s="354"/>
      <c r="I81" s="357"/>
      <c r="J81" s="18"/>
      <c r="K81" s="65"/>
    </row>
    <row r="82" spans="1:11" ht="13.5" thickBot="1">
      <c r="B82" s="75"/>
      <c r="C82" s="76"/>
      <c r="D82" s="77"/>
      <c r="E82" s="36"/>
      <c r="F82" s="130"/>
      <c r="G82" s="80"/>
      <c r="H82" s="80"/>
      <c r="I82" s="80"/>
      <c r="J82" s="18"/>
      <c r="K82" s="65"/>
    </row>
    <row r="83" spans="1:11" ht="127.5">
      <c r="B83" s="57" t="s">
        <v>161</v>
      </c>
      <c r="C83" s="64" t="s">
        <v>0</v>
      </c>
      <c r="D83" s="109">
        <f>IF(11&lt;C27,0,15+16)</f>
        <v>31</v>
      </c>
      <c r="E83" s="51" t="str">
        <f>DEC2HEX(((D83)*2^8),8)</f>
        <v>00001F00</v>
      </c>
      <c r="F83" s="125" t="s">
        <v>241</v>
      </c>
      <c r="G83" s="393" t="s">
        <v>93</v>
      </c>
      <c r="H83" s="352" t="str">
        <f>"0x"&amp;DEC2HEX((HEX2DEC(C33)+528), 8)</f>
        <v>0x3D400210</v>
      </c>
      <c r="I83" s="355" t="str">
        <f>"0x"&amp;DEC2HEX((HEX2DEC(E83)+HEX2DEC(E84)), 8)</f>
        <v>0x00001F1F</v>
      </c>
      <c r="J83" s="18"/>
      <c r="K83" s="65"/>
    </row>
    <row r="84" spans="1:11" ht="128.25" thickBot="1">
      <c r="B84" s="59" t="s">
        <v>162</v>
      </c>
      <c r="C84" s="62" t="s">
        <v>0</v>
      </c>
      <c r="D84" s="107">
        <f>IF(10&lt;C27,0,15+16)</f>
        <v>31</v>
      </c>
      <c r="E84" s="53" t="str">
        <f>DEC2HEX(((D84)*2^0),8)</f>
        <v>0000001F</v>
      </c>
      <c r="F84" s="127" t="s">
        <v>242</v>
      </c>
      <c r="G84" s="354"/>
      <c r="H84" s="354"/>
      <c r="I84" s="357"/>
      <c r="J84" s="18"/>
      <c r="K84" s="65"/>
    </row>
    <row r="85" spans="1:11" ht="13.5" thickBot="1">
      <c r="B85" s="68"/>
      <c r="C85" s="69"/>
      <c r="D85" s="70"/>
      <c r="E85" s="71"/>
      <c r="F85" s="72"/>
      <c r="G85" s="36"/>
      <c r="H85" s="36"/>
      <c r="I85" s="54"/>
      <c r="J85" s="18"/>
      <c r="K85" s="65"/>
    </row>
    <row r="86" spans="1:11" ht="89.25">
      <c r="B86" s="57" t="s">
        <v>163</v>
      </c>
      <c r="C86" s="64" t="s">
        <v>0</v>
      </c>
      <c r="D86" s="109">
        <f>D89</f>
        <v>7</v>
      </c>
      <c r="E86" s="51" t="str">
        <f>DEC2HEX(((D86)*2^24),8)</f>
        <v>07000000</v>
      </c>
      <c r="F86" s="125" t="s">
        <v>84</v>
      </c>
      <c r="G86" s="361" t="s">
        <v>59</v>
      </c>
      <c r="H86" s="361" t="str">
        <f>"0x"&amp;DEC2HEX((HEX2DEC(C33)+532), 8)</f>
        <v>0x3D400214</v>
      </c>
      <c r="I86" s="362" t="str">
        <f>"0x"&amp;DEC2HEX((HEX2DEC(E86)+HEX2DEC(E87)+HEX2DEC(E88)+HEX2DEC(E89)), 8)</f>
        <v>0x07070707</v>
      </c>
      <c r="J86" s="18"/>
      <c r="K86" s="65"/>
    </row>
    <row r="87" spans="1:11" ht="114.75">
      <c r="B87" s="58" t="s">
        <v>164</v>
      </c>
      <c r="C87" s="60" t="s">
        <v>0</v>
      </c>
      <c r="D87" s="106">
        <f>D89</f>
        <v>7</v>
      </c>
      <c r="E87" s="52" t="str">
        <f>DEC2HEX(((D87)*2^16),8)</f>
        <v>00070000</v>
      </c>
      <c r="F87" s="124" t="s">
        <v>85</v>
      </c>
      <c r="G87" s="353"/>
      <c r="H87" s="353"/>
      <c r="I87" s="356"/>
      <c r="J87" s="18"/>
      <c r="K87" s="65"/>
    </row>
    <row r="88" spans="1:11" ht="76.5">
      <c r="B88" s="74" t="s">
        <v>165</v>
      </c>
      <c r="C88" s="60" t="s">
        <v>0</v>
      </c>
      <c r="D88" s="106">
        <f>D89</f>
        <v>7</v>
      </c>
      <c r="E88" s="52" t="str">
        <f>DEC2HEX(((D88)*2^8),8)</f>
        <v>00000700</v>
      </c>
      <c r="F88" s="222" t="s">
        <v>86</v>
      </c>
      <c r="G88" s="353"/>
      <c r="H88" s="353"/>
      <c r="I88" s="356"/>
      <c r="J88" s="18"/>
      <c r="K88" s="65"/>
    </row>
    <row r="89" spans="1:11" ht="77.25" thickBot="1">
      <c r="B89" s="59" t="s">
        <v>166</v>
      </c>
      <c r="C89" s="62" t="s">
        <v>0</v>
      </c>
      <c r="D89" s="107">
        <f>IF(C30=32, IF(F29="DISABLED", (C27-6), (C27+C28-6)), IF(F29="DISABLED", (C27-6-1), (C27+C28-6-1)))</f>
        <v>7</v>
      </c>
      <c r="E89" s="53" t="str">
        <f>DEC2HEX(((D89)*2^0),8)</f>
        <v>00000007</v>
      </c>
      <c r="F89" s="127" t="s">
        <v>87</v>
      </c>
      <c r="G89" s="354"/>
      <c r="H89" s="354"/>
      <c r="I89" s="357"/>
      <c r="J89" s="18"/>
      <c r="K89" s="65"/>
    </row>
    <row r="90" spans="1:11" ht="13.5" thickBot="1">
      <c r="B90" s="68"/>
      <c r="C90" s="69"/>
      <c r="D90" s="70"/>
      <c r="E90" s="71"/>
      <c r="F90" s="72"/>
      <c r="G90" s="36"/>
      <c r="H90" s="36"/>
      <c r="I90" s="54"/>
      <c r="J90" s="18"/>
      <c r="K90" s="65"/>
    </row>
    <row r="91" spans="1:11" ht="153">
      <c r="A91" s="6"/>
      <c r="B91" s="57" t="s">
        <v>256</v>
      </c>
      <c r="C91" s="88" t="s">
        <v>0</v>
      </c>
      <c r="D91" s="199">
        <f>IF(C22=12, 2, IF(C22=6, 1, 0))</f>
        <v>0</v>
      </c>
      <c r="E91" s="263" t="str">
        <f>DEC2HEX(((D91)*2^29),8)</f>
        <v>00000000</v>
      </c>
      <c r="F91" s="125" t="s">
        <v>257</v>
      </c>
      <c r="G91" s="361" t="s">
        <v>60</v>
      </c>
      <c r="H91" s="361" t="str">
        <f>"0x"&amp;DEC2HEX((HEX2DEC(C33)+536), 8)</f>
        <v>0x3D400218</v>
      </c>
      <c r="I91" s="362" t="str">
        <f>"0x"&amp;DEC2HEX((HEX2DEC(E91)+HEX2DEC(E92)+HEX2DEC(E93)+HEX2DEC(E94)+HEX2DEC(E95)), 8)</f>
        <v>0x0F070707</v>
      </c>
      <c r="J91" s="18"/>
      <c r="K91" s="65"/>
    </row>
    <row r="92" spans="1:11" ht="89.25">
      <c r="B92" s="58" t="s">
        <v>167</v>
      </c>
      <c r="C92" s="89" t="s">
        <v>0</v>
      </c>
      <c r="D92" s="121">
        <f>IF(C25=24, IF(C30=32, 8, 7), IF(15&lt;C26,D89,15))</f>
        <v>15</v>
      </c>
      <c r="E92" s="264" t="str">
        <f>DEC2HEX(((D92)*2^24),8)</f>
        <v>0F000000</v>
      </c>
      <c r="F92" s="124" t="s">
        <v>88</v>
      </c>
      <c r="G92" s="353"/>
      <c r="H92" s="353"/>
      <c r="I92" s="356"/>
      <c r="J92" s="18"/>
      <c r="K92" s="65"/>
    </row>
    <row r="93" spans="1:11" ht="89.25">
      <c r="B93" s="58" t="s">
        <v>168</v>
      </c>
      <c r="C93" s="89" t="s">
        <v>0</v>
      </c>
      <c r="D93" s="121">
        <f>IF(C25=24, IF(C30=32, 8, 7),IF(14&lt;C26,D89,15))</f>
        <v>7</v>
      </c>
      <c r="E93" s="264" t="str">
        <f>DEC2HEX(((D93)*2^16),8)</f>
        <v>00070000</v>
      </c>
      <c r="F93" s="222" t="s">
        <v>89</v>
      </c>
      <c r="G93" s="353"/>
      <c r="H93" s="353"/>
      <c r="I93" s="356"/>
      <c r="J93" s="18"/>
      <c r="K93" s="65"/>
    </row>
    <row r="94" spans="1:11" ht="89.25">
      <c r="B94" s="58" t="s">
        <v>169</v>
      </c>
      <c r="C94" s="89" t="s">
        <v>0</v>
      </c>
      <c r="D94" s="224">
        <f>IF(13&lt;C26,D89,15)</f>
        <v>7</v>
      </c>
      <c r="E94" s="264" t="str">
        <f>DEC2HEX(((D94)*2^8),8)</f>
        <v>00000700</v>
      </c>
      <c r="F94" s="222" t="s">
        <v>90</v>
      </c>
      <c r="G94" s="353"/>
      <c r="H94" s="353"/>
      <c r="I94" s="356"/>
      <c r="J94" s="18"/>
      <c r="K94" s="65"/>
    </row>
    <row r="95" spans="1:11" ht="90" thickBot="1">
      <c r="B95" s="59" t="s">
        <v>170</v>
      </c>
      <c r="C95" s="92" t="s">
        <v>0</v>
      </c>
      <c r="D95" s="107">
        <f>IF(12&lt;C26,D89,15)</f>
        <v>7</v>
      </c>
      <c r="E95" s="265" t="str">
        <f>DEC2HEX(((D95)*2^0),8)</f>
        <v>00000007</v>
      </c>
      <c r="F95" s="127" t="s">
        <v>91</v>
      </c>
      <c r="G95" s="354"/>
      <c r="H95" s="354"/>
      <c r="I95" s="357"/>
      <c r="J95" s="18"/>
      <c r="K95" s="65"/>
    </row>
    <row r="96" spans="1:11" ht="13.5" thickBot="1">
      <c r="B96" s="75"/>
      <c r="C96" s="76"/>
      <c r="D96" s="77"/>
      <c r="E96" s="36"/>
      <c r="F96" s="72"/>
      <c r="G96" s="36"/>
      <c r="H96" s="36"/>
      <c r="I96" s="54"/>
      <c r="J96" s="18"/>
      <c r="K96" s="65"/>
    </row>
    <row r="97" spans="2:11" ht="127.5">
      <c r="B97" s="57" t="s">
        <v>560</v>
      </c>
      <c r="C97" s="64" t="s">
        <v>0</v>
      </c>
      <c r="D97" s="109">
        <v>10</v>
      </c>
      <c r="E97" s="289" t="str">
        <f>DEC2HEX(((D97)*2^24),8)</f>
        <v>0A000000</v>
      </c>
      <c r="F97" s="125" t="s">
        <v>564</v>
      </c>
      <c r="G97" s="361" t="s">
        <v>556</v>
      </c>
      <c r="H97" s="361" t="str">
        <f>"0x"&amp;DEC2HEX((HEX2DEC(C33)+548), 8)</f>
        <v>0x3D400224</v>
      </c>
      <c r="I97" s="362" t="str">
        <f>"0x"&amp;DEC2HEX((HEX2DEC(E97)+HEX2DEC(E98)+HEX2DEC(E99)+HEX2DEC(E100)), 8)</f>
        <v>0x0A020B06</v>
      </c>
      <c r="J97" s="18"/>
      <c r="K97" s="65"/>
    </row>
    <row r="98" spans="2:11" ht="127.5">
      <c r="B98" s="58" t="s">
        <v>559</v>
      </c>
      <c r="C98" s="60" t="s">
        <v>0</v>
      </c>
      <c r="D98" s="147">
        <v>2</v>
      </c>
      <c r="E98" s="290" t="str">
        <f>DEC2HEX(((D98)*2^16),8)</f>
        <v>00020000</v>
      </c>
      <c r="F98" s="124" t="s">
        <v>563</v>
      </c>
      <c r="G98" s="353"/>
      <c r="H98" s="353"/>
      <c r="I98" s="356"/>
      <c r="J98" s="18"/>
      <c r="K98" s="65"/>
    </row>
    <row r="99" spans="2:11" ht="127.5">
      <c r="B99" s="74" t="s">
        <v>558</v>
      </c>
      <c r="C99" s="60" t="s">
        <v>0</v>
      </c>
      <c r="D99" s="147">
        <v>11</v>
      </c>
      <c r="E99" s="290" t="str">
        <f>DEC2HEX(((D99)*2^8),8)</f>
        <v>00000B00</v>
      </c>
      <c r="F99" s="222" t="s">
        <v>562</v>
      </c>
      <c r="G99" s="353"/>
      <c r="H99" s="353"/>
      <c r="I99" s="356"/>
      <c r="J99" s="18"/>
      <c r="K99" s="65"/>
    </row>
    <row r="100" spans="2:11" ht="128.25" thickBot="1">
      <c r="B100" s="59" t="s">
        <v>557</v>
      </c>
      <c r="C100" s="62" t="s">
        <v>0</v>
      </c>
      <c r="D100" s="107">
        <v>6</v>
      </c>
      <c r="E100" s="291" t="str">
        <f>DEC2HEX(((D100)*2^0),8)</f>
        <v>00000006</v>
      </c>
      <c r="F100" s="127" t="s">
        <v>561</v>
      </c>
      <c r="G100" s="354"/>
      <c r="H100" s="354"/>
      <c r="I100" s="357"/>
      <c r="J100" s="18"/>
      <c r="K100" s="65"/>
    </row>
    <row r="101" spans="2:11" ht="13.5" thickBot="1">
      <c r="B101" s="75"/>
      <c r="C101" s="76"/>
      <c r="D101" s="77"/>
      <c r="E101" s="36"/>
      <c r="F101" s="72"/>
      <c r="G101" s="36"/>
      <c r="H101" s="36"/>
      <c r="I101" s="54"/>
      <c r="J101" s="18"/>
      <c r="K101" s="65"/>
    </row>
    <row r="102" spans="2:11" ht="127.5">
      <c r="B102" s="57" t="s">
        <v>566</v>
      </c>
      <c r="C102" s="64" t="s">
        <v>0</v>
      </c>
      <c r="D102" s="109">
        <v>10</v>
      </c>
      <c r="E102" s="289" t="str">
        <f>DEC2HEX(((D102)*2^24),8)</f>
        <v>0A000000</v>
      </c>
      <c r="F102" s="125" t="s">
        <v>570</v>
      </c>
      <c r="G102" s="361" t="s">
        <v>565</v>
      </c>
      <c r="H102" s="361" t="str">
        <f>"0x"&amp;DEC2HEX((HEX2DEC(C33)+552), 8)</f>
        <v>0x3D400228</v>
      </c>
      <c r="I102" s="362" t="str">
        <f>"0x"&amp;DEC2HEX((HEX2DEC(E102)+HEX2DEC(E103)+HEX2DEC(E104)+HEX2DEC(E105)), 8)</f>
        <v>0x0A0A0A0A</v>
      </c>
      <c r="J102" s="18"/>
      <c r="K102" s="65"/>
    </row>
    <row r="103" spans="2:11" ht="127.5">
      <c r="B103" s="58" t="s">
        <v>567</v>
      </c>
      <c r="C103" s="60" t="s">
        <v>0</v>
      </c>
      <c r="D103" s="147">
        <v>10</v>
      </c>
      <c r="E103" s="290" t="str">
        <f>DEC2HEX(((D103)*2^16),8)</f>
        <v>000A0000</v>
      </c>
      <c r="F103" s="124" t="s">
        <v>571</v>
      </c>
      <c r="G103" s="353"/>
      <c r="H103" s="353"/>
      <c r="I103" s="356"/>
      <c r="J103" s="18"/>
      <c r="K103" s="65"/>
    </row>
    <row r="104" spans="2:11" ht="127.5">
      <c r="B104" s="74" t="s">
        <v>568</v>
      </c>
      <c r="C104" s="60" t="s">
        <v>0</v>
      </c>
      <c r="D104" s="147">
        <v>10</v>
      </c>
      <c r="E104" s="290" t="str">
        <f>DEC2HEX(((D104)*2^8),8)</f>
        <v>00000A00</v>
      </c>
      <c r="F104" s="222" t="s">
        <v>572</v>
      </c>
      <c r="G104" s="353"/>
      <c r="H104" s="353"/>
      <c r="I104" s="356"/>
      <c r="J104" s="18"/>
      <c r="K104" s="65"/>
    </row>
    <row r="105" spans="2:11" ht="128.25" thickBot="1">
      <c r="B105" s="59" t="s">
        <v>569</v>
      </c>
      <c r="C105" s="62" t="s">
        <v>0</v>
      </c>
      <c r="D105" s="107">
        <v>10</v>
      </c>
      <c r="E105" s="291" t="str">
        <f>DEC2HEX(((D105)*2^0),8)</f>
        <v>0000000A</v>
      </c>
      <c r="F105" s="127" t="s">
        <v>573</v>
      </c>
      <c r="G105" s="354"/>
      <c r="H105" s="354"/>
      <c r="I105" s="357"/>
      <c r="J105" s="18"/>
      <c r="K105" s="65"/>
    </row>
    <row r="106" spans="2:11" ht="13.5" thickBot="1">
      <c r="B106" s="75"/>
      <c r="C106" s="76"/>
      <c r="D106" s="77"/>
      <c r="E106" s="36"/>
      <c r="F106" s="72"/>
      <c r="G106" s="36"/>
      <c r="H106" s="36"/>
      <c r="I106" s="54"/>
      <c r="J106" s="18"/>
      <c r="K106" s="65"/>
    </row>
    <row r="107" spans="2:11" ht="114.75">
      <c r="B107" s="57" t="s">
        <v>577</v>
      </c>
      <c r="C107" s="64" t="s">
        <v>0</v>
      </c>
      <c r="D107" s="108">
        <v>0</v>
      </c>
      <c r="E107" s="289" t="str">
        <f>DEC2HEX(((D107)*2^16),8)</f>
        <v>00000000</v>
      </c>
      <c r="F107" s="125" t="s">
        <v>578</v>
      </c>
      <c r="G107" s="361" t="s">
        <v>574</v>
      </c>
      <c r="H107" s="361" t="str">
        <f>"0x"&amp;DEC2HEX((HEX2DEC(C33)+556), 8)</f>
        <v>0x3D40022C</v>
      </c>
      <c r="I107" s="362" t="str">
        <f>"0x"&amp;DEC2HEX((HEX2DEC(E107)+HEX2DEC(E108)+HEX2DEC(E109)), 8)</f>
        <v>0x00000000</v>
      </c>
      <c r="J107" s="18"/>
      <c r="K107" s="65"/>
    </row>
    <row r="108" spans="2:11" ht="114.75">
      <c r="B108" s="74" t="s">
        <v>576</v>
      </c>
      <c r="C108" s="60" t="s">
        <v>0</v>
      </c>
      <c r="D108" s="147">
        <v>0</v>
      </c>
      <c r="E108" s="290" t="str">
        <f>DEC2HEX(((D108)*2^8),8)</f>
        <v>00000000</v>
      </c>
      <c r="F108" s="222" t="s">
        <v>579</v>
      </c>
      <c r="G108" s="353"/>
      <c r="H108" s="353"/>
      <c r="I108" s="356"/>
      <c r="J108" s="18"/>
      <c r="K108" s="65"/>
    </row>
    <row r="109" spans="2:11" ht="128.25" thickBot="1">
      <c r="B109" s="59" t="s">
        <v>575</v>
      </c>
      <c r="C109" s="62" t="s">
        <v>0</v>
      </c>
      <c r="D109" s="107">
        <v>0</v>
      </c>
      <c r="E109" s="291" t="str">
        <f>DEC2HEX(((D109)*2^0),8)</f>
        <v>00000000</v>
      </c>
      <c r="F109" s="127" t="s">
        <v>580</v>
      </c>
      <c r="G109" s="354"/>
      <c r="H109" s="354"/>
      <c r="I109" s="357"/>
      <c r="J109" s="18"/>
      <c r="K109" s="65"/>
    </row>
    <row r="110" spans="2:11" ht="13.5" thickBot="1">
      <c r="B110" s="75"/>
      <c r="C110" s="76"/>
      <c r="D110" s="77"/>
      <c r="E110" s="36"/>
      <c r="F110" s="72"/>
      <c r="G110" s="36"/>
      <c r="H110" s="36"/>
      <c r="I110" s="54"/>
      <c r="J110" s="18"/>
      <c r="K110" s="65"/>
    </row>
    <row r="111" spans="2:11" ht="216.75">
      <c r="B111" s="57" t="s">
        <v>589</v>
      </c>
      <c r="C111" s="64" t="s">
        <v>0</v>
      </c>
      <c r="D111" s="109">
        <v>6</v>
      </c>
      <c r="E111" s="289" t="str">
        <f>DEC2HEX(((D111)*2^24),8)</f>
        <v>06000000</v>
      </c>
      <c r="F111" s="125" t="s">
        <v>590</v>
      </c>
      <c r="G111" s="361" t="s">
        <v>582</v>
      </c>
      <c r="H111" s="361" t="str">
        <f>"0x"&amp;DEC2HEX((HEX2DEC(C33)+576), 8)</f>
        <v>0x3D400240</v>
      </c>
      <c r="I111" s="362" t="str">
        <f>"0x"&amp;DEC2HEX((HEX2DEC(E111)+HEX2DEC(E112)+HEX2DEC(E113)+HEX2DEC(E114)), 8)</f>
        <v>0x0600060C</v>
      </c>
      <c r="J111" s="18"/>
      <c r="K111" s="65"/>
    </row>
    <row r="112" spans="2:11" ht="229.5">
      <c r="B112" s="58" t="s">
        <v>588</v>
      </c>
      <c r="C112" s="60" t="s">
        <v>0</v>
      </c>
      <c r="D112" s="147">
        <v>0</v>
      </c>
      <c r="E112" s="290" t="str">
        <f>DEC2HEX(((D112)*2^16),8)</f>
        <v>00000000</v>
      </c>
      <c r="F112" s="124" t="s">
        <v>587</v>
      </c>
      <c r="G112" s="353"/>
      <c r="H112" s="353"/>
      <c r="I112" s="356"/>
      <c r="J112" s="18"/>
      <c r="K112" s="65"/>
    </row>
    <row r="113" spans="2:22" ht="216.75">
      <c r="B113" s="74" t="s">
        <v>585</v>
      </c>
      <c r="C113" s="60" t="s">
        <v>0</v>
      </c>
      <c r="D113" s="147">
        <v>6</v>
      </c>
      <c r="E113" s="290" t="str">
        <f>DEC2HEX(((D113)*2^8),8)</f>
        <v>00000600</v>
      </c>
      <c r="F113" s="222" t="s">
        <v>586</v>
      </c>
      <c r="G113" s="353"/>
      <c r="H113" s="353"/>
      <c r="I113" s="356"/>
      <c r="J113" s="18"/>
      <c r="K113" s="65"/>
    </row>
    <row r="114" spans="2:22" ht="268.5" thickBot="1">
      <c r="B114" s="59" t="s">
        <v>583</v>
      </c>
      <c r="C114" s="62" t="s">
        <v>0</v>
      </c>
      <c r="D114" s="107">
        <f>(C154-C153)</f>
        <v>3</v>
      </c>
      <c r="E114" s="291" t="str">
        <f>DEC2HEX(((D114)*2^2),8)</f>
        <v>0000000C</v>
      </c>
      <c r="F114" s="127" t="s">
        <v>584</v>
      </c>
      <c r="G114" s="354"/>
      <c r="H114" s="354"/>
      <c r="I114" s="357"/>
      <c r="J114" s="18"/>
      <c r="K114" s="65"/>
    </row>
    <row r="115" spans="2:22" ht="13.5" thickBot="1">
      <c r="B115" s="75"/>
      <c r="C115" s="76"/>
      <c r="D115" s="77"/>
      <c r="E115" s="36"/>
      <c r="F115" s="72"/>
      <c r="G115" s="36"/>
      <c r="H115" s="36"/>
      <c r="I115" s="54"/>
      <c r="J115" s="18"/>
      <c r="K115" s="65"/>
    </row>
    <row r="116" spans="2:22" ht="51.75" thickBot="1">
      <c r="B116" s="14" t="s">
        <v>78</v>
      </c>
      <c r="C116" s="14" t="s">
        <v>2</v>
      </c>
      <c r="D116" s="14" t="s">
        <v>19</v>
      </c>
      <c r="E116" s="14" t="s">
        <v>6</v>
      </c>
      <c r="F116" s="15" t="s">
        <v>1</v>
      </c>
      <c r="G116" s="35" t="s">
        <v>3</v>
      </c>
      <c r="H116" s="16" t="s">
        <v>228</v>
      </c>
      <c r="I116" s="16" t="s">
        <v>4</v>
      </c>
      <c r="J116" s="18"/>
      <c r="K116" s="65"/>
    </row>
    <row r="117" spans="2:22" ht="13.5" thickBot="1">
      <c r="B117" s="75"/>
      <c r="C117" s="76"/>
      <c r="D117" s="77"/>
      <c r="E117" s="36"/>
      <c r="F117" s="72"/>
      <c r="G117" s="36"/>
      <c r="H117" s="36"/>
      <c r="I117" s="54"/>
      <c r="J117" s="18"/>
      <c r="K117" s="65"/>
    </row>
    <row r="118" spans="2:22" ht="153">
      <c r="B118" s="57" t="s">
        <v>230</v>
      </c>
      <c r="C118" s="88" t="s">
        <v>0</v>
      </c>
      <c r="D118" s="56">
        <v>2</v>
      </c>
      <c r="E118" s="207" t="str">
        <f>DEC2HEX(((D118)*2^20),8)</f>
        <v>00200000</v>
      </c>
      <c r="F118" s="33" t="s">
        <v>231</v>
      </c>
      <c r="G118" s="361" t="s">
        <v>229</v>
      </c>
      <c r="H118" s="361" t="str">
        <f>"0x"&amp;DEC2HEX((HEX2DEC(C33)+HEX2DEC(50)), 8)</f>
        <v>0x3D400050</v>
      </c>
      <c r="I118" s="449" t="str">
        <f>"0x"&amp;DEC2HEX((HEX2DEC(E118)+HEX2DEC(E119)+HEX2DEC(E120)+HEX2DEC(E121)), 8)</f>
        <v>0x00210070</v>
      </c>
      <c r="J118" s="465" t="s">
        <v>244</v>
      </c>
      <c r="K118" s="65"/>
    </row>
    <row r="119" spans="2:22" ht="178.5">
      <c r="B119" s="58" t="s">
        <v>232</v>
      </c>
      <c r="C119" s="89" t="s">
        <v>0</v>
      </c>
      <c r="D119" s="118">
        <v>16</v>
      </c>
      <c r="E119" s="208" t="str">
        <f>DEC2HEX(((D119)*2^12),8)</f>
        <v>00010000</v>
      </c>
      <c r="F119" s="17" t="s">
        <v>233</v>
      </c>
      <c r="G119" s="391"/>
      <c r="H119" s="391"/>
      <c r="I119" s="450"/>
      <c r="J119" s="465"/>
      <c r="K119" s="65"/>
    </row>
    <row r="120" spans="2:22" ht="306">
      <c r="B120" s="58" t="s">
        <v>234</v>
      </c>
      <c r="C120" s="89" t="s">
        <v>0</v>
      </c>
      <c r="D120" s="212">
        <v>7</v>
      </c>
      <c r="E120" s="208" t="str">
        <f>DEC2HEX(((D120)*2^4),8)</f>
        <v>00000070</v>
      </c>
      <c r="F120" s="17" t="s">
        <v>235</v>
      </c>
      <c r="G120" s="391"/>
      <c r="H120" s="391"/>
      <c r="I120" s="450"/>
      <c r="J120" s="465"/>
      <c r="K120" s="65"/>
    </row>
    <row r="121" spans="2:22" ht="102.75" thickBot="1">
      <c r="B121" s="59" t="s">
        <v>236</v>
      </c>
      <c r="C121" s="92" t="s">
        <v>0</v>
      </c>
      <c r="D121" s="213">
        <v>0</v>
      </c>
      <c r="E121" s="209" t="str">
        <f>DEC2HEX(((D121)*2^2),8)</f>
        <v>00000000</v>
      </c>
      <c r="F121" s="34" t="s">
        <v>237</v>
      </c>
      <c r="G121" s="448"/>
      <c r="H121" s="448"/>
      <c r="I121" s="451"/>
      <c r="J121" s="465"/>
      <c r="K121" s="65"/>
    </row>
    <row r="122" spans="2:22" ht="13.5" thickBot="1">
      <c r="B122" s="75"/>
      <c r="C122" s="76"/>
      <c r="D122" s="77"/>
      <c r="E122" s="36"/>
      <c r="F122" s="72"/>
      <c r="G122" s="36"/>
      <c r="H122" s="36"/>
      <c r="I122" s="54"/>
      <c r="J122" s="18"/>
      <c r="K122" s="65"/>
    </row>
    <row r="123" spans="2:22" ht="357">
      <c r="B123" s="119" t="s">
        <v>129</v>
      </c>
      <c r="C123" s="283">
        <v>7800</v>
      </c>
      <c r="D123" s="109">
        <f>ROUNDDOWN(((C123/C32)/64), 0)</f>
        <v>97</v>
      </c>
      <c r="E123" s="218" t="str">
        <f>DEC2HEX(((D123)*2^16),8)</f>
        <v>00610000</v>
      </c>
      <c r="F123" s="128" t="s">
        <v>681</v>
      </c>
      <c r="G123" s="361" t="s">
        <v>38</v>
      </c>
      <c r="H123" s="361" t="str">
        <f>"0x"&amp;DEC2HEX((HEX2DEC(C33)+HEX2DEC(64)), 8)</f>
        <v>0x3D400064</v>
      </c>
      <c r="I123" s="362" t="str">
        <f>"0x"&amp;DEC2HEX((HEX2DEC(E123)+HEX2DEC(E124)), 8)</f>
        <v>0x00610068</v>
      </c>
      <c r="J123" s="198" t="s">
        <v>255</v>
      </c>
      <c r="K123" s="65"/>
    </row>
    <row r="124" spans="2:22" ht="255.75" thickBot="1">
      <c r="B124" s="138" t="s">
        <v>130</v>
      </c>
      <c r="C124" s="150">
        <f>IF(C20=2, 160, IF(C20=4, 260, IF(C20=8, 350, 110)))</f>
        <v>260</v>
      </c>
      <c r="D124" s="107">
        <f>ROUNDUP((C124/C32/2),0)</f>
        <v>104</v>
      </c>
      <c r="E124" s="220" t="str">
        <f>DEC2HEX(((D124)*2^0),8)</f>
        <v>00000068</v>
      </c>
      <c r="F124" s="129" t="s">
        <v>591</v>
      </c>
      <c r="G124" s="354"/>
      <c r="H124" s="354"/>
      <c r="I124" s="357"/>
      <c r="J124" s="18"/>
      <c r="K124" s="65"/>
    </row>
    <row r="125" spans="2:22" ht="13.5" thickBot="1">
      <c r="B125" s="75"/>
      <c r="C125" s="76"/>
      <c r="D125" s="77"/>
      <c r="E125" s="36"/>
      <c r="F125" s="72"/>
      <c r="G125" s="36"/>
      <c r="H125" s="36"/>
      <c r="I125" s="54"/>
      <c r="J125" s="18"/>
      <c r="K125" s="65"/>
    </row>
    <row r="126" spans="2:22" ht="13.5" thickBot="1">
      <c r="B126" s="396" t="s">
        <v>206</v>
      </c>
      <c r="C126" s="397"/>
      <c r="D126" s="397"/>
      <c r="E126" s="397"/>
      <c r="F126" s="397"/>
      <c r="G126" s="397"/>
      <c r="H126" s="397"/>
      <c r="I126" s="398"/>
      <c r="J126" s="18"/>
      <c r="K126" s="65"/>
    </row>
    <row r="127" spans="2:22" ht="127.5">
      <c r="B127" s="57" t="s">
        <v>97</v>
      </c>
      <c r="C127" s="64" t="s">
        <v>0</v>
      </c>
      <c r="D127" s="56">
        <v>3</v>
      </c>
      <c r="E127" s="51" t="str">
        <f>DEC2HEX(((D127)*2^30),8)</f>
        <v>C0000000</v>
      </c>
      <c r="F127" s="125" t="s">
        <v>682</v>
      </c>
      <c r="G127" s="361" t="s">
        <v>41</v>
      </c>
      <c r="H127" s="481" t="str">
        <f>"0x"&amp;DEC2HEX((HEX2DEC(C33)+208), 8)</f>
        <v>0x3D4000D0</v>
      </c>
      <c r="I127" s="484" t="str">
        <f>"0x"&amp;DEC2HEX((HEX2DEC(E127)+HEX2DEC(E128)+HEX2DEC(E129)), 8)</f>
        <v>0xC00200C5</v>
      </c>
      <c r="J127" s="253" t="s">
        <v>267</v>
      </c>
    </row>
    <row r="128" spans="2:22" ht="306.75" thickBot="1">
      <c r="B128" s="58" t="s">
        <v>98</v>
      </c>
      <c r="C128" s="147">
        <f>C124+10</f>
        <v>270</v>
      </c>
      <c r="D128" s="107">
        <f>ROUNDUP(((C128/C32)/2/1024+1),0)</f>
        <v>2</v>
      </c>
      <c r="E128" s="52" t="str">
        <f>DEC2HEX(((D128)*2^16),8)</f>
        <v>00020000</v>
      </c>
      <c r="F128" s="124" t="s">
        <v>268</v>
      </c>
      <c r="G128" s="353"/>
      <c r="H128" s="482"/>
      <c r="I128" s="485"/>
      <c r="J128" s="205"/>
      <c r="V128"/>
    </row>
    <row r="129" spans="2:11" ht="192" thickBot="1">
      <c r="B129" s="59" t="s">
        <v>99</v>
      </c>
      <c r="C129" s="62">
        <v>500000</v>
      </c>
      <c r="D129" s="150">
        <f>ROUNDUP(((C129/C32)/2/1024+1),0)</f>
        <v>197</v>
      </c>
      <c r="E129" s="53" t="str">
        <f>DEC2HEX(((D129)*2^0),8)</f>
        <v>000000C5</v>
      </c>
      <c r="F129" s="127" t="s">
        <v>245</v>
      </c>
      <c r="G129" s="354"/>
      <c r="H129" s="483"/>
      <c r="I129" s="486"/>
      <c r="J129" s="380"/>
      <c r="K129" s="381"/>
    </row>
    <row r="130" spans="2:11" ht="13.5" thickBot="1">
      <c r="B130" s="68"/>
      <c r="C130" s="69"/>
      <c r="D130" s="70"/>
      <c r="E130" s="71"/>
      <c r="F130" s="72"/>
      <c r="G130" s="36"/>
      <c r="H130" s="36"/>
      <c r="I130" s="54"/>
      <c r="J130" s="18"/>
      <c r="K130" s="206"/>
    </row>
    <row r="131" spans="2:11" ht="140.25">
      <c r="B131" s="57" t="s">
        <v>127</v>
      </c>
      <c r="C131" s="64">
        <v>200000</v>
      </c>
      <c r="D131" s="87">
        <f>IF(C17="LPDDR4", ROUNDUP((C131/C32/1024/2 + 1), 0), 1)</f>
        <v>1</v>
      </c>
      <c r="E131" s="148" t="str">
        <f>DEC2HEX(((D131)*2^16),8)</f>
        <v>00010000</v>
      </c>
      <c r="F131" s="125" t="s">
        <v>240</v>
      </c>
      <c r="G131" s="361" t="s">
        <v>40</v>
      </c>
      <c r="H131" s="361" t="str">
        <f>"0x"&amp;DEC2HEX((HEX2DEC(C33)+212), 8)</f>
        <v>0x3D4000D4</v>
      </c>
      <c r="I131" s="362" t="str">
        <f>"0x"&amp;DEC2HEX((HEX2DEC(E131)+HEX2DEC(E132)), 8)</f>
        <v>0x0001000B</v>
      </c>
      <c r="J131" s="380"/>
      <c r="K131" s="381"/>
    </row>
    <row r="132" spans="2:11" ht="64.5" thickBot="1">
      <c r="B132" s="59" t="s">
        <v>128</v>
      </c>
      <c r="C132" s="62" t="s">
        <v>0</v>
      </c>
      <c r="D132" s="63">
        <v>11</v>
      </c>
      <c r="E132" s="149" t="str">
        <f>DEC2HEX(((D132)*2^0),8)</f>
        <v>0000000B</v>
      </c>
      <c r="F132" s="127" t="s">
        <v>39</v>
      </c>
      <c r="G132" s="354"/>
      <c r="H132" s="354"/>
      <c r="I132" s="357"/>
      <c r="J132" s="18"/>
    </row>
    <row r="133" spans="2:11" ht="13.5" thickBot="1">
      <c r="B133" s="75"/>
      <c r="C133" s="76"/>
      <c r="D133" s="77"/>
      <c r="E133" s="36"/>
      <c r="F133" s="130"/>
      <c r="G133" s="80"/>
      <c r="H133" s="80"/>
      <c r="I133" s="80"/>
      <c r="J133" s="18"/>
    </row>
    <row r="134" spans="2:11" ht="332.25" thickBot="1">
      <c r="B134" s="58" t="s">
        <v>521</v>
      </c>
      <c r="C134" s="60" t="s">
        <v>0</v>
      </c>
      <c r="D134" s="87">
        <f>IF(G23="Enabled", 1, 0)</f>
        <v>1</v>
      </c>
      <c r="E134" s="306" t="str">
        <f>DEC2HEX(((D134)*2^1),8)</f>
        <v>00000002</v>
      </c>
      <c r="F134" s="127" t="s">
        <v>522</v>
      </c>
      <c r="G134" s="372" t="s">
        <v>518</v>
      </c>
      <c r="H134" s="372" t="str">
        <f>"0x"&amp;DEC2HEX((HEX2DEC(C33)+240), 8)</f>
        <v>0x3D4000F0</v>
      </c>
      <c r="I134" s="375" t="str">
        <f>"0x"&amp;DEC2HEX((HEX2DEC(E134)+HEX2DEC(E135)),8)</f>
        <v>0x00000002</v>
      </c>
      <c r="J134" s="18"/>
    </row>
    <row r="135" spans="2:11" ht="166.5" thickBot="1">
      <c r="B135" s="59" t="s">
        <v>519</v>
      </c>
      <c r="C135" s="62" t="s">
        <v>0</v>
      </c>
      <c r="D135" s="292">
        <v>0</v>
      </c>
      <c r="E135" s="291" t="str">
        <f>DEC2HEX(((D135)*2^0),8)</f>
        <v>00000000</v>
      </c>
      <c r="F135" s="127" t="s">
        <v>520</v>
      </c>
      <c r="G135" s="374"/>
      <c r="H135" s="374"/>
      <c r="I135" s="377"/>
      <c r="J135" s="18"/>
    </row>
    <row r="136" spans="2:11" ht="13.5" thickBot="1">
      <c r="B136" s="75"/>
      <c r="C136" s="76"/>
      <c r="D136" s="77"/>
      <c r="E136" s="36"/>
      <c r="F136" s="130"/>
      <c r="G136" s="80"/>
      <c r="H136" s="80"/>
      <c r="I136" s="80"/>
      <c r="J136" s="18"/>
    </row>
    <row r="137" spans="2:11" ht="13.5" thickBot="1">
      <c r="B137" s="456" t="s">
        <v>172</v>
      </c>
      <c r="C137" s="457"/>
      <c r="D137" s="457"/>
      <c r="E137" s="457"/>
      <c r="F137" s="457"/>
      <c r="G137" s="457"/>
      <c r="H137" s="457"/>
      <c r="I137" s="458"/>
      <c r="J137" s="18"/>
    </row>
    <row r="138" spans="2:11" ht="306">
      <c r="B138" s="57" t="s">
        <v>173</v>
      </c>
      <c r="C138" s="88"/>
      <c r="D138" s="319">
        <v>14</v>
      </c>
      <c r="E138" s="51" t="str">
        <f>DEC2HEX(((D138)*2^8),8)</f>
        <v>00000E00</v>
      </c>
      <c r="F138" s="128" t="s">
        <v>246</v>
      </c>
      <c r="G138" s="361" t="s">
        <v>44</v>
      </c>
      <c r="H138" s="361" t="str">
        <f>"0x"&amp;DEC2HEX((HEX2DEC(C33)+244), 8)</f>
        <v>0x3D4000F4</v>
      </c>
      <c r="I138" s="362" t="str">
        <f>"0x"&amp;DEC2HEX((HEX2DEC(E138)+HEX2DEC(E139)+HEX2DEC(E140)), 8)</f>
        <v>0x00000EE5</v>
      </c>
      <c r="J138" s="18"/>
    </row>
    <row r="139" spans="2:11" ht="318.75">
      <c r="B139" s="58" t="s">
        <v>174</v>
      </c>
      <c r="C139" s="89"/>
      <c r="D139" s="319">
        <v>14</v>
      </c>
      <c r="E139" s="52" t="str">
        <f>DEC2HEX(((D139)*2^4),8)</f>
        <v>000000E0</v>
      </c>
      <c r="F139" s="211" t="s">
        <v>276</v>
      </c>
      <c r="G139" s="353"/>
      <c r="H139" s="353"/>
      <c r="I139" s="356"/>
      <c r="J139" s="18"/>
    </row>
    <row r="140" spans="2:11" ht="306.75" thickBot="1">
      <c r="B140" s="59" t="s">
        <v>175</v>
      </c>
      <c r="C140" s="62" t="s">
        <v>0</v>
      </c>
      <c r="D140" s="63">
        <v>5</v>
      </c>
      <c r="E140" s="53" t="str">
        <f>DEC2HEX(((D140)*2^0),8)</f>
        <v>00000005</v>
      </c>
      <c r="F140" s="129" t="s">
        <v>92</v>
      </c>
      <c r="G140" s="354"/>
      <c r="H140" s="354"/>
      <c r="I140" s="357"/>
      <c r="J140" s="18"/>
    </row>
    <row r="141" spans="2:11" ht="13.5" thickBot="1">
      <c r="B141" s="68"/>
      <c r="C141" s="69"/>
      <c r="D141" s="70"/>
      <c r="E141" s="71"/>
      <c r="F141" s="72"/>
      <c r="G141" s="36"/>
      <c r="H141" s="36"/>
      <c r="I141" s="54"/>
      <c r="J141" s="18"/>
    </row>
    <row r="142" spans="2:11" ht="293.25">
      <c r="B142" s="57" t="s">
        <v>176</v>
      </c>
      <c r="C142" s="332">
        <v>15</v>
      </c>
      <c r="D142" s="55">
        <f>ROUNDDOWN((C153+D44+ROUNDUP((C142/C32),0))/2,0)</f>
        <v>12</v>
      </c>
      <c r="E142" s="272" t="str">
        <f>DEC2HEX(((D142)*2^24),8)</f>
        <v>0C000000</v>
      </c>
      <c r="F142" s="125" t="s">
        <v>456</v>
      </c>
      <c r="G142" s="361" t="s">
        <v>45</v>
      </c>
      <c r="H142" s="361" t="str">
        <f>"0x"&amp;DEC2HEX((HEX2DEC(C33)+256), 8)</f>
        <v>0x3D400100</v>
      </c>
      <c r="I142" s="362" t="str">
        <f>"0x"&amp;DEC2HEX((HEX2DEC(E142)+HEX2DEC(E143)+HEX2DEC(E144)+HEX2DEC(E145)), 8)</f>
        <v>0x0C101B0E</v>
      </c>
      <c r="J142" s="81"/>
      <c r="K142" s="25"/>
    </row>
    <row r="143" spans="2:11" ht="140.25">
      <c r="B143" s="73" t="s">
        <v>177</v>
      </c>
      <c r="C143" s="117">
        <f>IF(C24="2KB", IF(C31&lt;666, 50, IF(C31&lt;799, 45, IF(C31&lt;932, 40, 35))), IF(C31&lt;532, 40, IF(C31&lt;666, 37.5, IF(C31&lt;932, 30, IF(C31&lt; 1065, 27, 25)))))</f>
        <v>40</v>
      </c>
      <c r="D143" s="147">
        <f>ROUNDUP(((C143/C32)/2),0)</f>
        <v>16</v>
      </c>
      <c r="E143" s="67" t="str">
        <f>DEC2HEX(((D143)*2^16),8)</f>
        <v>00100000</v>
      </c>
      <c r="F143" s="214" t="s">
        <v>457</v>
      </c>
      <c r="G143" s="391"/>
      <c r="H143" s="391"/>
      <c r="I143" s="399"/>
      <c r="J143" s="18"/>
      <c r="K143" s="25"/>
    </row>
    <row r="144" spans="2:11" ht="114.75">
      <c r="B144" s="58" t="s">
        <v>178</v>
      </c>
      <c r="C144" s="210">
        <f>IF(C17="DDR3L", 9*C123, IF(C17="LPDDR4", (9*C123), 70000))</f>
        <v>70200</v>
      </c>
      <c r="D144" s="224">
        <f>ROUNDDOWN(((C144/C32 - 1)/2/1024),0)</f>
        <v>27</v>
      </c>
      <c r="E144" s="273" t="str">
        <f>DEC2HEX(((D144)*2^8),8)</f>
        <v>00001B00</v>
      </c>
      <c r="F144" s="124" t="s">
        <v>247</v>
      </c>
      <c r="G144" s="353"/>
      <c r="H144" s="353"/>
      <c r="I144" s="356"/>
      <c r="J144" s="18"/>
      <c r="K144" s="25"/>
    </row>
    <row r="145" spans="1:11" ht="128.25" thickBot="1">
      <c r="B145" s="138" t="s">
        <v>179</v>
      </c>
      <c r="C145" s="150">
        <f>IF(C31&lt;667, 37.5, IF(C31&lt;800, 36, IF(C31&lt;933, 35, IF(C31&lt;1066, 34, 33))))</f>
        <v>35</v>
      </c>
      <c r="D145" s="146">
        <f>ROUNDUP((C145/C32)/2,0)</f>
        <v>14</v>
      </c>
      <c r="E145" s="143" t="str">
        <f>DEC2HEX(((D145)*2^0),8)</f>
        <v>0000000E</v>
      </c>
      <c r="F145" s="145" t="s">
        <v>458</v>
      </c>
      <c r="G145" s="354"/>
      <c r="H145" s="354"/>
      <c r="I145" s="357"/>
      <c r="J145" s="18"/>
    </row>
    <row r="146" spans="1:11" ht="13.5" thickBot="1">
      <c r="B146" s="68"/>
      <c r="C146" s="69"/>
      <c r="D146" s="70"/>
      <c r="E146" s="71"/>
      <c r="F146" s="72"/>
      <c r="G146" s="36"/>
      <c r="H146" s="36"/>
      <c r="I146" s="54"/>
      <c r="J146" s="18"/>
    </row>
    <row r="147" spans="1:11" ht="140.25">
      <c r="B147" s="57" t="s">
        <v>106</v>
      </c>
      <c r="C147" s="87">
        <f>IF(D216=1, MAX(6/C32, 3), MAX(24/C32, 10))</f>
        <v>4.8</v>
      </c>
      <c r="D147" s="109">
        <f>ROUNDUP((C147)/2, 0)</f>
        <v>3</v>
      </c>
      <c r="E147" s="272" t="str">
        <f>DEC2HEX(((D147)*2^16),8)</f>
        <v>00030000</v>
      </c>
      <c r="F147" s="128" t="s">
        <v>459</v>
      </c>
      <c r="G147" s="358" t="s">
        <v>46</v>
      </c>
      <c r="H147" s="358" t="str">
        <f>"0x"&amp;DEC2HEX((HEX2DEC(C33)+260), 8)</f>
        <v>0x3D400104</v>
      </c>
      <c r="I147" s="478" t="str">
        <f>"0x"&amp;DEC2HEX((HEX2DEC(E147)+HEX2DEC(E148)+HEX2DEC(E149)), 8)</f>
        <v>0x00030314</v>
      </c>
      <c r="J147" s="18"/>
    </row>
    <row r="148" spans="1:11" ht="255">
      <c r="B148" s="58" t="s">
        <v>107</v>
      </c>
      <c r="C148" s="210">
        <f>MAX(4*C32, 7.5)</f>
        <v>7.5</v>
      </c>
      <c r="D148" s="147">
        <f>ROUNDUP((C148/C32/2),0)</f>
        <v>3</v>
      </c>
      <c r="E148" s="273" t="str">
        <f>DEC2HEX(((D148)*2^8),8)</f>
        <v>00000300</v>
      </c>
      <c r="F148" s="320" t="s">
        <v>478</v>
      </c>
      <c r="G148" s="405"/>
      <c r="H148" s="405"/>
      <c r="I148" s="479"/>
      <c r="J148" s="93"/>
    </row>
    <row r="149" spans="1:11" ht="115.5" thickBot="1">
      <c r="B149" s="59" t="s">
        <v>238</v>
      </c>
      <c r="C149" s="150">
        <f>IF(C31&lt;667, 52.5, IF(C31&lt;800, 51, IF(C31&lt;933, 48.75, IF(C31&lt;1066, 47.91, 46.09))))</f>
        <v>48.75</v>
      </c>
      <c r="D149" s="150">
        <f>ROUNDUP(C149/C32/2, 0)</f>
        <v>20</v>
      </c>
      <c r="E149" s="274" t="str">
        <f>DEC2HEX(((D149)*2^0),8)</f>
        <v>00000014</v>
      </c>
      <c r="F149" s="129" t="s">
        <v>638</v>
      </c>
      <c r="G149" s="406"/>
      <c r="H149" s="406"/>
      <c r="I149" s="480"/>
      <c r="J149" s="18"/>
    </row>
    <row r="150" spans="1:11" ht="13.5" thickBot="1">
      <c r="B150" s="75"/>
      <c r="C150" s="90"/>
      <c r="D150" s="77"/>
      <c r="E150" s="36"/>
      <c r="F150" s="72"/>
      <c r="G150" s="80"/>
      <c r="H150" s="80"/>
      <c r="I150" s="80"/>
      <c r="J150" s="18"/>
    </row>
    <row r="151" spans="1:11" ht="51.75" thickBot="1">
      <c r="B151" s="14" t="s">
        <v>78</v>
      </c>
      <c r="C151" s="16" t="s">
        <v>101</v>
      </c>
      <c r="D151" s="91" t="s">
        <v>180</v>
      </c>
      <c r="E151" s="14" t="s">
        <v>6</v>
      </c>
      <c r="F151" s="15" t="s">
        <v>1</v>
      </c>
      <c r="G151" s="35" t="s">
        <v>3</v>
      </c>
      <c r="H151" s="16" t="s">
        <v>228</v>
      </c>
      <c r="I151" s="16" t="s">
        <v>4</v>
      </c>
      <c r="J151" s="18"/>
    </row>
    <row r="152" spans="1:11" ht="13.5" thickBot="1">
      <c r="B152" s="243"/>
      <c r="C152" s="244"/>
      <c r="D152" s="245"/>
      <c r="E152" s="246"/>
      <c r="F152" s="247"/>
      <c r="G152" s="244"/>
      <c r="H152" s="244"/>
      <c r="I152" s="248"/>
      <c r="J152" s="18"/>
    </row>
    <row r="153" spans="1:11" ht="191.25">
      <c r="A153" s="6"/>
      <c r="B153" s="57" t="s">
        <v>104</v>
      </c>
      <c r="C153" s="199">
        <f>IF(C31&lt;801, 8, IF(C31&lt;1066, 10, IF(C31&lt;1333, 12, 14)))</f>
        <v>8</v>
      </c>
      <c r="D153" s="109">
        <f>ROUNDUP((C153/2), 0)</f>
        <v>4</v>
      </c>
      <c r="E153" s="272" t="str">
        <f>DEC2HEX(((D153)*2^24),8)</f>
        <v>04000000</v>
      </c>
      <c r="F153" s="125" t="s">
        <v>460</v>
      </c>
      <c r="G153" s="361" t="s">
        <v>47</v>
      </c>
      <c r="H153" s="361" t="str">
        <f>"0x"&amp;DEC2HEX((HEX2DEC(C33)+264), 8)</f>
        <v>0x3D400108</v>
      </c>
      <c r="I153" s="400" t="str">
        <f>"0x"&amp;DEC2HEX((HEX2DEC(E153)+HEX2DEC(E154)+HEX2DEC(E155)+HEX2DEC(E156)), 8)</f>
        <v>0x04060509</v>
      </c>
      <c r="J153" s="81"/>
    </row>
    <row r="154" spans="1:11" ht="178.5">
      <c r="A154" s="6"/>
      <c r="B154" s="73" t="s">
        <v>105</v>
      </c>
      <c r="C154" s="210">
        <f>IF(C31&lt;801, 11, IF(C31&lt;934, 13, 14))</f>
        <v>11</v>
      </c>
      <c r="D154" s="147">
        <f>ROUNDUP((C154/2), 0)</f>
        <v>6</v>
      </c>
      <c r="E154" s="67" t="str">
        <f>DEC2HEX(((D154)*2^16),8)</f>
        <v>00060000</v>
      </c>
      <c r="F154" s="214" t="s">
        <v>461</v>
      </c>
      <c r="G154" s="391"/>
      <c r="H154" s="391"/>
      <c r="I154" s="401"/>
      <c r="J154" s="81"/>
    </row>
    <row r="155" spans="1:11" ht="395.25">
      <c r="A155" s="6"/>
      <c r="B155" s="58" t="s">
        <v>103</v>
      </c>
      <c r="C155" s="282"/>
      <c r="D155" s="82">
        <f>ROUNDUP((C154+D44+2-C153)/2, 0)</f>
        <v>5</v>
      </c>
      <c r="E155" s="142" t="str">
        <f>DEC2HEX(((D155)*2^8),8)</f>
        <v>00000500</v>
      </c>
      <c r="F155" s="124" t="s">
        <v>462</v>
      </c>
      <c r="G155" s="353"/>
      <c r="H155" s="353"/>
      <c r="I155" s="402"/>
      <c r="J155" s="202"/>
    </row>
    <row r="156" spans="1:11" ht="306.75" thickBot="1">
      <c r="B156" s="94" t="s">
        <v>102</v>
      </c>
      <c r="C156" s="150">
        <f>MAX(4, 7.5/C32)</f>
        <v>6</v>
      </c>
      <c r="D156" s="150">
        <f>ROUNDUP((C153+D44+C156)/2, 0)</f>
        <v>9</v>
      </c>
      <c r="E156" s="275" t="str">
        <f>DEC2HEX(((D156)*2^0),8)</f>
        <v>00000009</v>
      </c>
      <c r="F156" s="126" t="s">
        <v>479</v>
      </c>
      <c r="G156" s="354"/>
      <c r="H156" s="354"/>
      <c r="I156" s="403"/>
      <c r="J156" s="202"/>
      <c r="K156" s="25"/>
    </row>
    <row r="157" spans="1:11" ht="13.5" thickBot="1">
      <c r="B157" s="68"/>
      <c r="C157" s="69"/>
      <c r="D157" s="70"/>
      <c r="E157" s="71"/>
      <c r="F157" s="72"/>
      <c r="G157" s="36"/>
      <c r="H157" s="36"/>
      <c r="I157" s="54"/>
      <c r="J157" s="18"/>
    </row>
    <row r="158" spans="1:11" ht="204">
      <c r="B158" s="57" t="s">
        <v>108</v>
      </c>
      <c r="C158" s="87">
        <v>0</v>
      </c>
      <c r="D158" s="87">
        <f>ROUNDUP((C158)/2, 0)</f>
        <v>0</v>
      </c>
      <c r="E158" s="272" t="str">
        <f>DEC2HEX(((D158)*2^20),8)</f>
        <v>00000000</v>
      </c>
      <c r="F158" s="33" t="s">
        <v>639</v>
      </c>
      <c r="G158" s="361" t="s">
        <v>48</v>
      </c>
      <c r="H158" s="361" t="str">
        <f>"0x"&amp;DEC2HEX((HEX2DEC(C33)+268), 8)</f>
        <v>0x3D40010C</v>
      </c>
      <c r="I158" s="362" t="str">
        <f>"0x"&amp;DEC2HEX((HEX2DEC(E158)+HEX2DEC(E159)+HEX2DEC(E160)), 8)</f>
        <v>0x00002006</v>
      </c>
      <c r="J158" s="18"/>
    </row>
    <row r="159" spans="1:11" ht="140.25">
      <c r="B159" s="120" t="s">
        <v>109</v>
      </c>
      <c r="C159" s="210">
        <v>4</v>
      </c>
      <c r="D159" s="110">
        <f>ROUNDUP((C159)/2, 0)</f>
        <v>2</v>
      </c>
      <c r="E159" s="273" t="str">
        <f>DEC2HEX(((D159)*2^12),8)</f>
        <v>00002000</v>
      </c>
      <c r="F159" s="17" t="s">
        <v>463</v>
      </c>
      <c r="G159" s="353"/>
      <c r="H159" s="353"/>
      <c r="I159" s="356"/>
      <c r="J159" s="18"/>
    </row>
    <row r="160" spans="1:11" ht="166.5" thickBot="1">
      <c r="B160" s="138" t="s">
        <v>110</v>
      </c>
      <c r="C160" s="62">
        <v>0</v>
      </c>
      <c r="D160" s="107">
        <f>ROUNDUP(MAX(12,15/C32)/2,0)</f>
        <v>6</v>
      </c>
      <c r="E160" s="274" t="str">
        <f>DEC2HEX(((D160)*2^0),8)</f>
        <v>00000006</v>
      </c>
      <c r="F160" s="34" t="s">
        <v>239</v>
      </c>
      <c r="G160" s="354"/>
      <c r="H160" s="354"/>
      <c r="I160" s="357"/>
      <c r="J160" s="198"/>
    </row>
    <row r="161" spans="1:11" ht="13.5" thickBot="1">
      <c r="B161" s="68"/>
      <c r="C161" s="69"/>
      <c r="D161" s="70"/>
      <c r="E161" s="71"/>
      <c r="F161" s="72"/>
      <c r="G161" s="36"/>
      <c r="H161" s="36"/>
      <c r="I161" s="54"/>
      <c r="J161" s="18"/>
    </row>
    <row r="162" spans="1:11" ht="140.25">
      <c r="B162" s="57" t="s">
        <v>121</v>
      </c>
      <c r="C162" s="87">
        <f>IF(C31&lt;800, 15, IF(C31&lt;933, 13.75, IF(C31&lt;1066, 13.91, 13.09)))</f>
        <v>13.75</v>
      </c>
      <c r="D162" s="109">
        <f>ROUNDUP(((C162/C32)/2),0)</f>
        <v>6</v>
      </c>
      <c r="E162" s="272" t="str">
        <f>DEC2HEX(((D162)*2^24),8)</f>
        <v>06000000</v>
      </c>
      <c r="F162" s="125" t="s">
        <v>477</v>
      </c>
      <c r="G162" s="361" t="s">
        <v>49</v>
      </c>
      <c r="H162" s="361" t="str">
        <f>"0x"&amp;DEC2HEX((HEX2DEC(C33)+272), 8)</f>
        <v>0x3D400110</v>
      </c>
      <c r="I162" s="400" t="str">
        <f>"0x"&amp;DEC2HEX((HEX2DEC(E162)+HEX2DEC(E163)+HEX2DEC(E164)+HEX2DEC(E165)), 8)</f>
        <v>0x06020306</v>
      </c>
      <c r="J162" s="18"/>
    </row>
    <row r="163" spans="1:11" ht="114.75">
      <c r="B163" s="58" t="s">
        <v>122</v>
      </c>
      <c r="C163" s="60">
        <v>4</v>
      </c>
      <c r="D163" s="147">
        <f>ROUNDUP(C163/2, 0)</f>
        <v>2</v>
      </c>
      <c r="E163" s="273" t="str">
        <f>DEC2HEX(((D163)*2^16),8)</f>
        <v>00020000</v>
      </c>
      <c r="F163" s="124" t="s">
        <v>464</v>
      </c>
      <c r="G163" s="353"/>
      <c r="H163" s="353"/>
      <c r="I163" s="402"/>
      <c r="J163" s="18"/>
    </row>
    <row r="164" spans="1:11" ht="114.75">
      <c r="B164" s="74" t="s">
        <v>123</v>
      </c>
      <c r="C164" s="210">
        <f>IF(C24="2KB",(IF(C31&lt;667,MAX(10/C32,4),IF(C31&lt;933,MAX(7.5/C32,4),MAX(6/C32,4)))),(IF(C31&lt;533,MAX(10/C32,4),IF(C31&lt;667,MAX(7.5/C32,4),IF(C31&lt;933,MAX(6/C32,4),MAX(5/C32,4))))))</f>
        <v>6</v>
      </c>
      <c r="D164" s="224">
        <f>ROUNDUP(((C164)/2),0)</f>
        <v>3</v>
      </c>
      <c r="E164" s="273" t="str">
        <f>DEC2HEX(((D164)*2^8),8)</f>
        <v>00000300</v>
      </c>
      <c r="F164" s="222" t="s">
        <v>465</v>
      </c>
      <c r="G164" s="353"/>
      <c r="H164" s="353"/>
      <c r="I164" s="402"/>
      <c r="J164" s="18"/>
    </row>
    <row r="165" spans="1:11" ht="128.25" thickBot="1">
      <c r="A165" s="6"/>
      <c r="B165" s="59" t="s">
        <v>124</v>
      </c>
      <c r="C165" s="150">
        <f>C162</f>
        <v>13.75</v>
      </c>
      <c r="D165" s="107">
        <f>ROUNDUP(ROUNDDOWN(C165/C32/2,0), 0)+1</f>
        <v>6</v>
      </c>
      <c r="E165" s="143" t="str">
        <f>DEC2HEX(((D165)*2^0),8)</f>
        <v>00000006</v>
      </c>
      <c r="F165" s="127" t="s">
        <v>466</v>
      </c>
      <c r="G165" s="354"/>
      <c r="H165" s="354"/>
      <c r="I165" s="403"/>
      <c r="J165" s="202"/>
    </row>
    <row r="166" spans="1:11" ht="13.5" thickBot="1">
      <c r="B166" s="68"/>
      <c r="C166" s="69"/>
      <c r="D166" s="70"/>
      <c r="E166" s="71"/>
      <c r="F166" s="72"/>
      <c r="G166" s="36"/>
      <c r="H166" s="36"/>
      <c r="I166" s="54"/>
      <c r="J166" s="18"/>
    </row>
    <row r="167" spans="1:11" ht="204">
      <c r="B167" s="57" t="s">
        <v>125</v>
      </c>
      <c r="C167" s="87">
        <f>MAX(10/C32, 5)</f>
        <v>8</v>
      </c>
      <c r="D167" s="109">
        <f>ROUNDUP(((C167/2)),0)</f>
        <v>4</v>
      </c>
      <c r="E167" s="141" t="str">
        <f>DEC2HEX(((D167)*2^24),8)</f>
        <v>04000000</v>
      </c>
      <c r="F167" s="125" t="s">
        <v>467</v>
      </c>
      <c r="G167" s="361" t="s">
        <v>50</v>
      </c>
      <c r="H167" s="361" t="str">
        <f>"0x"&amp;DEC2HEX((HEX2DEC(C33)+276), 8)</f>
        <v>0x3D400114</v>
      </c>
      <c r="I167" s="362" t="str">
        <f>"0x"&amp;DEC2HEX((HEX2DEC(E167)+HEX2DEC(E168)+HEX2DEC(E169)+HEX2DEC(E170)), 8)</f>
        <v>0x04040302</v>
      </c>
      <c r="J167" s="201"/>
    </row>
    <row r="168" spans="1:11" ht="216.75">
      <c r="B168" s="58" t="s">
        <v>126</v>
      </c>
      <c r="C168" s="210">
        <f>MAX(10/C32, 5)</f>
        <v>8</v>
      </c>
      <c r="D168" s="147">
        <f>ROUNDUP((C168/2),0)</f>
        <v>4</v>
      </c>
      <c r="E168" s="142" t="str">
        <f>DEC2HEX(((D168)*2^16),8)</f>
        <v>00040000</v>
      </c>
      <c r="F168" s="124" t="s">
        <v>468</v>
      </c>
      <c r="G168" s="353"/>
      <c r="H168" s="353"/>
      <c r="I168" s="356"/>
      <c r="J168" s="201"/>
    </row>
    <row r="169" spans="1:11" ht="242.25">
      <c r="B169" s="74" t="s">
        <v>248</v>
      </c>
      <c r="C169" s="210">
        <f>MAX(5/C32, 3)+1</f>
        <v>5</v>
      </c>
      <c r="D169" s="223">
        <f>ROUNDUP(((C169)/2),0)</f>
        <v>3</v>
      </c>
      <c r="E169" s="221" t="str">
        <f>DEC2HEX(((D169)*2^8),8)</f>
        <v>00000300</v>
      </c>
      <c r="F169" s="222" t="s">
        <v>469</v>
      </c>
      <c r="G169" s="353"/>
      <c r="H169" s="353"/>
      <c r="I169" s="356"/>
      <c r="J169" s="18"/>
    </row>
    <row r="170" spans="1:11" ht="153.75" thickBot="1">
      <c r="B170" s="59" t="s">
        <v>249</v>
      </c>
      <c r="C170" s="150">
        <f>MAX(5/C32, 3)</f>
        <v>4</v>
      </c>
      <c r="D170" s="112">
        <f>ROUNDUP(((C170)/2),0)</f>
        <v>2</v>
      </c>
      <c r="E170" s="274" t="str">
        <f>DEC2HEX(((D170)*2^0),8)</f>
        <v>00000002</v>
      </c>
      <c r="F170" s="127" t="s">
        <v>470</v>
      </c>
      <c r="G170" s="354"/>
      <c r="H170" s="354"/>
      <c r="I170" s="357"/>
      <c r="J170" s="18"/>
    </row>
    <row r="171" spans="1:11" ht="13.5" thickBot="1">
      <c r="J171" s="18"/>
      <c r="K171" s="65"/>
    </row>
    <row r="172" spans="1:11" ht="127.5">
      <c r="B172" s="57" t="s">
        <v>530</v>
      </c>
      <c r="C172" s="87"/>
      <c r="D172" s="109">
        <v>0</v>
      </c>
      <c r="E172" s="141" t="str">
        <f>DEC2HEX(((D172)*2^24),8)</f>
        <v>00000000</v>
      </c>
      <c r="F172" s="125" t="s">
        <v>531</v>
      </c>
      <c r="G172" s="361" t="s">
        <v>524</v>
      </c>
      <c r="H172" s="361" t="str">
        <f>"0x"&amp;DEC2HEX((HEX2DEC(C33)+288), 8)</f>
        <v>0x3D400120</v>
      </c>
      <c r="I172" s="362" t="str">
        <f>"0x"&amp;DEC2HEX((HEX2DEC(E172)+HEX2DEC(E173)+HEX2DEC(E174)+HEX2DEC(E175)), 8)</f>
        <v>0x00000909</v>
      </c>
      <c r="J172" s="18"/>
    </row>
    <row r="173" spans="1:11" ht="114.75">
      <c r="B173" s="58" t="s">
        <v>528</v>
      </c>
      <c r="C173" s="210"/>
      <c r="D173" s="147">
        <v>0</v>
      </c>
      <c r="E173" s="142" t="str">
        <f>DEC2HEX(((D173)*2^16),8)</f>
        <v>00000000</v>
      </c>
      <c r="F173" s="124" t="s">
        <v>529</v>
      </c>
      <c r="G173" s="353"/>
      <c r="H173" s="353"/>
      <c r="I173" s="356"/>
      <c r="J173" s="18"/>
    </row>
    <row r="174" spans="1:11" ht="102">
      <c r="B174" s="74" t="s">
        <v>526</v>
      </c>
      <c r="C174" s="118">
        <v>512</v>
      </c>
      <c r="D174" s="223">
        <f>ROUNDUP(C174/64 + 1,0)</f>
        <v>9</v>
      </c>
      <c r="E174" s="221" t="str">
        <f>DEC2HEX(((D174)*2^8),8)</f>
        <v>00000900</v>
      </c>
      <c r="F174" s="222" t="s">
        <v>527</v>
      </c>
      <c r="G174" s="353"/>
      <c r="H174" s="353"/>
      <c r="I174" s="356"/>
      <c r="J174" s="18"/>
    </row>
    <row r="175" spans="1:11" ht="141" thickBot="1">
      <c r="B175" s="59" t="s">
        <v>525</v>
      </c>
      <c r="C175" s="150" t="str">
        <f>IF(K18="yes", "-", C124+10)</f>
        <v>-</v>
      </c>
      <c r="D175" s="112">
        <f>IF(K18="yes",(D174), ROUNDUP(C175/C32/64 + 1,0))</f>
        <v>9</v>
      </c>
      <c r="E175" s="291" t="str">
        <f>DEC2HEX(((D175)*2^0),8)</f>
        <v>00000009</v>
      </c>
      <c r="F175" s="127" t="s">
        <v>742</v>
      </c>
      <c r="G175" s="354"/>
      <c r="H175" s="354"/>
      <c r="I175" s="357"/>
      <c r="J175" s="18"/>
    </row>
    <row r="176" spans="1:11" ht="15.75" thickBot="1">
      <c r="B176" s="75"/>
      <c r="C176" s="305"/>
      <c r="D176" s="111"/>
      <c r="E176" s="36"/>
      <c r="F176" s="130"/>
      <c r="G176" s="80"/>
      <c r="H176" s="80"/>
      <c r="I176" s="80"/>
      <c r="J176" s="18"/>
    </row>
    <row r="177" spans="2:24" ht="89.25">
      <c r="B177" s="57" t="s">
        <v>131</v>
      </c>
      <c r="C177" s="64" t="s">
        <v>0</v>
      </c>
      <c r="D177" s="56">
        <v>0</v>
      </c>
      <c r="E177" s="272" t="str">
        <f>DEC2HEX(((D177)*2^31),8)</f>
        <v>00000000</v>
      </c>
      <c r="F177" s="125" t="s">
        <v>75</v>
      </c>
      <c r="G177" s="361" t="s">
        <v>51</v>
      </c>
      <c r="H177" s="361" t="str">
        <f>"0x"&amp;DEC2HEX((HEX2DEC(C33)+384), 8)</f>
        <v>0x3D400180</v>
      </c>
      <c r="I177" s="362" t="str">
        <f>"0x"&amp;DEC2HEX((HEX2DEC(E177)+HEX2DEC(E178)+HEX2DEC(E179)+HEX2DEC(E180)+HEX2DEC(E181)+HEX2DEC(E182)), 8)</f>
        <v>0x40800020</v>
      </c>
      <c r="J177" s="18"/>
    </row>
    <row r="178" spans="2:24" ht="51">
      <c r="B178" s="58" t="s">
        <v>132</v>
      </c>
      <c r="C178" s="60" t="s">
        <v>0</v>
      </c>
      <c r="D178" s="118">
        <v>1</v>
      </c>
      <c r="E178" s="273" t="str">
        <f>DEC2HEX(((D178)*2^30),8)</f>
        <v>40000000</v>
      </c>
      <c r="F178" s="124" t="s">
        <v>76</v>
      </c>
      <c r="G178" s="391"/>
      <c r="H178" s="391"/>
      <c r="I178" s="399"/>
      <c r="J178" s="18"/>
    </row>
    <row r="179" spans="2:24" ht="89.25">
      <c r="B179" s="58" t="s">
        <v>133</v>
      </c>
      <c r="C179" s="60" t="s">
        <v>0</v>
      </c>
      <c r="D179" s="187">
        <v>0</v>
      </c>
      <c r="E179" s="273" t="str">
        <f>DEC2HEX(((D179)*2^29),8)</f>
        <v>00000000</v>
      </c>
      <c r="F179" s="222" t="s">
        <v>77</v>
      </c>
      <c r="G179" s="391"/>
      <c r="H179" s="391"/>
      <c r="I179" s="399"/>
      <c r="J179" s="18"/>
    </row>
    <row r="180" spans="2:24" ht="140.25">
      <c r="B180" s="74" t="s">
        <v>207</v>
      </c>
      <c r="C180" s="89" t="s">
        <v>0</v>
      </c>
      <c r="D180" s="188">
        <v>0</v>
      </c>
      <c r="E180" s="273" t="str">
        <f>DEC2HEX(((D180)*2^28),8)</f>
        <v>00000000</v>
      </c>
      <c r="F180" s="222" t="s">
        <v>640</v>
      </c>
      <c r="G180" s="391"/>
      <c r="H180" s="391"/>
      <c r="I180" s="399"/>
      <c r="J180" s="18"/>
    </row>
    <row r="181" spans="2:24" ht="178.5">
      <c r="B181" s="74" t="s">
        <v>134</v>
      </c>
      <c r="C181" s="60">
        <f>MAX(320/C32,256)</f>
        <v>256</v>
      </c>
      <c r="D181" s="147">
        <f>ROUNDUP((C181/2),0)</f>
        <v>128</v>
      </c>
      <c r="E181" s="273" t="str">
        <f>DEC2HEX(((D181)*2^16),8)</f>
        <v>00800000</v>
      </c>
      <c r="F181" s="222" t="s">
        <v>471</v>
      </c>
      <c r="G181" s="391"/>
      <c r="H181" s="391"/>
      <c r="I181" s="399"/>
      <c r="J181" s="18"/>
    </row>
    <row r="182" spans="2:24" ht="128.25" thickBot="1">
      <c r="B182" s="59" t="s">
        <v>135</v>
      </c>
      <c r="C182" s="150">
        <f>MAX(80/C32,64)</f>
        <v>64</v>
      </c>
      <c r="D182" s="112">
        <f>ROUNDUP(((C182)/2),0)</f>
        <v>32</v>
      </c>
      <c r="E182" s="274" t="str">
        <f>DEC2HEX(((D182)*2^0),8)</f>
        <v>00000020</v>
      </c>
      <c r="F182" s="127" t="s">
        <v>472</v>
      </c>
      <c r="G182" s="448"/>
      <c r="H182" s="448"/>
      <c r="I182" s="490"/>
      <c r="J182" s="18"/>
    </row>
    <row r="183" spans="2:24" ht="13.5" thickBot="1">
      <c r="B183" s="68"/>
      <c r="C183" s="69"/>
      <c r="D183" s="70"/>
      <c r="E183" s="71"/>
      <c r="F183" s="130"/>
      <c r="G183" s="36"/>
      <c r="H183" s="36"/>
      <c r="I183" s="54"/>
      <c r="J183" s="18"/>
    </row>
    <row r="184" spans="2:24" ht="13.5" thickBot="1">
      <c r="B184" s="396" t="s">
        <v>250</v>
      </c>
      <c r="C184" s="397"/>
      <c r="D184" s="397"/>
      <c r="E184" s="397"/>
      <c r="F184" s="397"/>
      <c r="G184" s="397"/>
      <c r="H184" s="397"/>
      <c r="I184" s="398"/>
      <c r="J184" s="18"/>
    </row>
    <row r="185" spans="2:24" ht="127.5">
      <c r="B185" s="57" t="s">
        <v>136</v>
      </c>
      <c r="C185" s="87">
        <v>0</v>
      </c>
      <c r="D185" s="87">
        <f xml:space="preserve"> ROUNDUP((C185)/2,0)</f>
        <v>0</v>
      </c>
      <c r="E185" s="272" t="str">
        <f>DEC2HEX(((D185)*2^20),8)</f>
        <v>00000000</v>
      </c>
      <c r="F185" s="125" t="s">
        <v>641</v>
      </c>
      <c r="G185" s="361" t="s">
        <v>94</v>
      </c>
      <c r="H185" s="361" t="str">
        <f>"0x"&amp;DEC2HEX((HEX2DEC(C33)+388), 8)</f>
        <v>0x3D400184</v>
      </c>
      <c r="I185" s="362" t="str">
        <f>"0x"&amp;DEC2HEX((HEX2DEC(E185)+HEX2DEC(E186)), 8)</f>
        <v>0x0000C350</v>
      </c>
      <c r="J185" s="18"/>
    </row>
    <row r="186" spans="2:24" ht="128.25" thickBot="1">
      <c r="B186" s="59" t="s">
        <v>137</v>
      </c>
      <c r="C186" s="92">
        <v>128000000</v>
      </c>
      <c r="D186" s="150">
        <f>ROUNDUP(C186/2/C32/1024, 0)</f>
        <v>50000</v>
      </c>
      <c r="E186" s="274" t="str">
        <f>DEC2HEX(((D186)*2^0),8)</f>
        <v>0000C350</v>
      </c>
      <c r="F186" s="127" t="s">
        <v>269</v>
      </c>
      <c r="G186" s="354"/>
      <c r="H186" s="354"/>
      <c r="I186" s="357"/>
      <c r="J186" s="18"/>
    </row>
    <row r="187" spans="2:24" ht="13.5" thickBot="1">
      <c r="B187" s="75"/>
      <c r="C187" s="76"/>
      <c r="D187" s="77"/>
      <c r="E187" s="77"/>
      <c r="F187" s="327"/>
      <c r="G187" s="72"/>
      <c r="H187" s="80"/>
      <c r="I187" s="80"/>
      <c r="J187" s="80"/>
      <c r="K187" s="80"/>
      <c r="L187" s="81"/>
      <c r="W187" s="8"/>
      <c r="X187" s="8"/>
    </row>
    <row r="188" spans="2:24" ht="114.75">
      <c r="B188" s="57" t="s">
        <v>444</v>
      </c>
      <c r="C188" s="64">
        <v>3.75</v>
      </c>
      <c r="D188" s="87">
        <f>ROUNDUP(C188/C32/2, 0) - 1</f>
        <v>1</v>
      </c>
      <c r="E188" s="276" t="str">
        <f>DEC2HEX(((D188)*2^8),8)</f>
        <v>00000100</v>
      </c>
      <c r="F188" s="33" t="s">
        <v>445</v>
      </c>
      <c r="G188" s="393" t="s">
        <v>446</v>
      </c>
      <c r="H188" s="352" t="str">
        <f>"0x"&amp;DEC2HEX((HEX2DEC(C33)+32), 8)</f>
        <v>0x3D400020</v>
      </c>
      <c r="I188" s="355" t="str">
        <f>"0x"&amp;DEC2HEX((HEX2DEC(E188)+HEX2DEC(E189)+HEX2DEC(E190)+HEX2DEC(E191)), 8)</f>
        <v>0x00000101</v>
      </c>
      <c r="J188" s="81"/>
    </row>
    <row r="189" spans="2:24" ht="63.75">
      <c r="B189" s="58" t="s">
        <v>447</v>
      </c>
      <c r="C189" s="89" t="s">
        <v>0</v>
      </c>
      <c r="D189" s="277">
        <v>0</v>
      </c>
      <c r="E189" s="278" t="str">
        <f>DEC2HEX(((D189)*2^4),8)</f>
        <v>00000000</v>
      </c>
      <c r="F189" s="17" t="s">
        <v>448</v>
      </c>
      <c r="G189" s="353"/>
      <c r="H189" s="353"/>
      <c r="I189" s="356"/>
      <c r="J189" s="81"/>
    </row>
    <row r="190" spans="2:24" ht="76.5">
      <c r="B190" s="58" t="s">
        <v>449</v>
      </c>
      <c r="C190" s="60">
        <v>1.875</v>
      </c>
      <c r="D190" s="210">
        <f>ROUNDUP(C190/C32/2, 0) - 1</f>
        <v>0</v>
      </c>
      <c r="E190" s="278" t="str">
        <f>DEC2HEX(((D190)*2^1),8)</f>
        <v>00000000</v>
      </c>
      <c r="F190" s="17" t="s">
        <v>450</v>
      </c>
      <c r="G190" s="353"/>
      <c r="H190" s="353"/>
      <c r="I190" s="356"/>
      <c r="J190" s="81"/>
    </row>
    <row r="191" spans="2:24" ht="64.5" thickBot="1">
      <c r="B191" s="59" t="s">
        <v>451</v>
      </c>
      <c r="C191" s="92" t="s">
        <v>0</v>
      </c>
      <c r="D191" s="63">
        <v>1</v>
      </c>
      <c r="E191" s="279" t="str">
        <f>DEC2HEX(((D191)*2^0),8)</f>
        <v>00000001</v>
      </c>
      <c r="F191" s="34" t="s">
        <v>452</v>
      </c>
      <c r="G191" s="354"/>
      <c r="H191" s="354"/>
      <c r="I191" s="357"/>
      <c r="J191" s="81"/>
    </row>
    <row r="192" spans="2:24" ht="13.5" thickBot="1">
      <c r="B192" s="75"/>
      <c r="C192" s="76"/>
      <c r="D192" s="77"/>
      <c r="E192" s="77"/>
      <c r="F192" s="327"/>
      <c r="G192" s="72"/>
      <c r="H192" s="80"/>
      <c r="I192" s="80"/>
      <c r="J192" s="80"/>
      <c r="K192" s="80"/>
      <c r="L192" s="81"/>
      <c r="W192" s="8"/>
      <c r="X192" s="8"/>
    </row>
    <row r="193" spans="2:24" ht="77.25" thickBot="1">
      <c r="B193" s="225" t="s">
        <v>453</v>
      </c>
      <c r="C193" s="230">
        <v>32</v>
      </c>
      <c r="D193" s="231">
        <f>ROUNDUP(C193*1000000/C32/2, 0 )</f>
        <v>12800000</v>
      </c>
      <c r="E193" s="280" t="str">
        <f>DEC2HEX(((D193)*2^0),8)</f>
        <v>00C35000</v>
      </c>
      <c r="F193" s="281" t="s">
        <v>454</v>
      </c>
      <c r="G193" s="86" t="s">
        <v>455</v>
      </c>
      <c r="H193" s="78" t="str">
        <f>"0x"&amp;DEC2HEX((HEX2DEC(C33)+36), 8)</f>
        <v>0x3D400024</v>
      </c>
      <c r="I193" s="79" t="str">
        <f>"0x"&amp;DEC2HEX(HEX2DEC(E193), 8)</f>
        <v>0x00C35000</v>
      </c>
      <c r="J193" s="81"/>
    </row>
    <row r="194" spans="2:24" ht="13.5" thickBot="1">
      <c r="B194" s="75"/>
      <c r="C194" s="76"/>
      <c r="D194" s="77"/>
      <c r="E194" s="77"/>
      <c r="F194" s="327"/>
      <c r="G194" s="72"/>
      <c r="H194" s="80"/>
      <c r="I194" s="80"/>
      <c r="J194" s="80"/>
      <c r="K194" s="80"/>
      <c r="L194" s="81"/>
      <c r="W194" s="8"/>
      <c r="X194" s="8"/>
    </row>
    <row r="195" spans="2:24" ht="13.5" thickBot="1">
      <c r="B195" s="396" t="s">
        <v>190</v>
      </c>
      <c r="C195" s="397"/>
      <c r="D195" s="397"/>
      <c r="E195" s="397"/>
      <c r="F195" s="397"/>
      <c r="G195" s="397"/>
      <c r="H195" s="397"/>
      <c r="I195" s="398"/>
      <c r="J195" s="18"/>
      <c r="K195" s="65"/>
    </row>
    <row r="196" spans="2:24" ht="102">
      <c r="B196" s="57" t="s">
        <v>181</v>
      </c>
      <c r="C196" s="64" t="s">
        <v>0</v>
      </c>
      <c r="D196" s="186">
        <v>1</v>
      </c>
      <c r="E196" s="51" t="str">
        <f>DEC2HEX(((D196)*2^12),8)</f>
        <v>00001000</v>
      </c>
      <c r="F196" s="125" t="s">
        <v>64</v>
      </c>
      <c r="G196" s="358" t="s">
        <v>61</v>
      </c>
      <c r="H196" s="358" t="str">
        <f>"0x"&amp;DEC2HEX((HEX2DEC(C33)+580), 8)</f>
        <v>0x3D400244</v>
      </c>
      <c r="I196" s="459" t="str">
        <f>"0x"&amp;DEC2HEX((HEX2DEC(E196)+HEX2DEC(E197)+HEX2DEC(E198)+HEX2DEC(E199)), 8)</f>
        <v>0x00001323</v>
      </c>
      <c r="J196" s="487"/>
      <c r="K196" s="198"/>
    </row>
    <row r="197" spans="2:24" ht="102">
      <c r="B197" s="58" t="s">
        <v>182</v>
      </c>
      <c r="C197" s="60" t="s">
        <v>0</v>
      </c>
      <c r="D197" s="196">
        <v>3</v>
      </c>
      <c r="E197" s="52" t="str">
        <f>DEC2HEX(((D197)*2^8),8)</f>
        <v>00000300</v>
      </c>
      <c r="F197" s="124" t="s">
        <v>65</v>
      </c>
      <c r="G197" s="359"/>
      <c r="H197" s="359"/>
      <c r="I197" s="460"/>
      <c r="J197" s="487"/>
      <c r="K197" s="198"/>
    </row>
    <row r="198" spans="2:24" ht="102">
      <c r="B198" s="58" t="s">
        <v>183</v>
      </c>
      <c r="C198" s="60" t="s">
        <v>0</v>
      </c>
      <c r="D198" s="196">
        <v>2</v>
      </c>
      <c r="E198" s="52" t="str">
        <f>DEC2HEX(((D198)*2^4),8)</f>
        <v>00000020</v>
      </c>
      <c r="F198" s="124" t="s">
        <v>63</v>
      </c>
      <c r="G198" s="359"/>
      <c r="H198" s="359"/>
      <c r="I198" s="460"/>
      <c r="J198" s="487"/>
      <c r="K198" s="198"/>
    </row>
    <row r="199" spans="2:24" ht="102.75" thickBot="1">
      <c r="B199" s="59" t="s">
        <v>184</v>
      </c>
      <c r="C199" s="62" t="s">
        <v>0</v>
      </c>
      <c r="D199" s="197">
        <v>3</v>
      </c>
      <c r="E199" s="53" t="str">
        <f>DEC2HEX(((D199)*2^0),8)</f>
        <v>00000003</v>
      </c>
      <c r="F199" s="127" t="s">
        <v>62</v>
      </c>
      <c r="G199" s="360"/>
      <c r="H199" s="360"/>
      <c r="I199" s="461"/>
      <c r="J199" s="487"/>
      <c r="K199" s="198"/>
    </row>
    <row r="200" spans="2:24" ht="13.5" thickBot="1">
      <c r="B200" s="75"/>
      <c r="C200" s="76"/>
      <c r="D200" s="77"/>
      <c r="E200" s="36"/>
      <c r="F200" s="72"/>
      <c r="G200" s="80"/>
      <c r="H200" s="80"/>
      <c r="I200" s="80"/>
      <c r="J200" s="81"/>
    </row>
    <row r="201" spans="2:24" ht="76.5">
      <c r="B201" s="57" t="s">
        <v>410</v>
      </c>
      <c r="C201" s="88" t="s">
        <v>0</v>
      </c>
      <c r="D201" s="56">
        <v>0</v>
      </c>
      <c r="E201" s="263" t="str">
        <f>DEC2HEX(((D201)*2^8),8)</f>
        <v>00000000</v>
      </c>
      <c r="F201" s="33" t="s">
        <v>427</v>
      </c>
      <c r="G201" s="393" t="s">
        <v>409</v>
      </c>
      <c r="H201" s="352" t="str">
        <f>"0x"&amp;DEC2HEX((HEX2DEC(C33)+48), 8)</f>
        <v>0x3D400030</v>
      </c>
      <c r="I201" s="355" t="str">
        <f>"0x"&amp;DEC2HEX((HEX2DEC(E201)+HEX2DEC(E202)+HEX2DEC(E203)+HEX2DEC(E204)+HEX2DEC(E205)+HEX2DEC(E206)+HEX2DEC(E207)+HEX2DEC(E208)+HEX2DEC(E209)), 8)</f>
        <v>0x000000A8</v>
      </c>
      <c r="J201" s="81"/>
    </row>
    <row r="202" spans="2:24" ht="76.5">
      <c r="B202" s="58" t="s">
        <v>411</v>
      </c>
      <c r="C202" s="89" t="s">
        <v>0</v>
      </c>
      <c r="D202" s="118">
        <v>1</v>
      </c>
      <c r="E202" s="264" t="str">
        <f>DEC2HEX(((D202)*2^7),8)</f>
        <v>00000080</v>
      </c>
      <c r="F202" s="17" t="s">
        <v>426</v>
      </c>
      <c r="G202" s="353"/>
      <c r="H202" s="353"/>
      <c r="I202" s="356"/>
      <c r="J202" s="81"/>
    </row>
    <row r="203" spans="2:24" ht="76.5">
      <c r="B203" s="58" t="s">
        <v>412</v>
      </c>
      <c r="C203" s="89" t="s">
        <v>0</v>
      </c>
      <c r="D203" s="118">
        <v>0</v>
      </c>
      <c r="E203" s="264" t="str">
        <f>DEC2HEX(((D203)*2^6),8)</f>
        <v>00000000</v>
      </c>
      <c r="F203" s="17" t="s">
        <v>425</v>
      </c>
      <c r="G203" s="353"/>
      <c r="H203" s="353"/>
      <c r="I203" s="356"/>
      <c r="J203" s="81"/>
    </row>
    <row r="204" spans="2:24" ht="89.25">
      <c r="B204" s="58" t="s">
        <v>413</v>
      </c>
      <c r="C204" s="89" t="s">
        <v>0</v>
      </c>
      <c r="D204" s="118">
        <v>1</v>
      </c>
      <c r="E204" s="264" t="str">
        <f>DEC2HEX(((D204)*2^5),8)</f>
        <v>00000020</v>
      </c>
      <c r="F204" s="17" t="s">
        <v>424</v>
      </c>
      <c r="G204" s="353"/>
      <c r="H204" s="353"/>
      <c r="I204" s="356"/>
      <c r="J204" s="81"/>
    </row>
    <row r="205" spans="2:24" ht="140.25">
      <c r="B205" s="58" t="s">
        <v>414</v>
      </c>
      <c r="C205" s="89" t="s">
        <v>0</v>
      </c>
      <c r="D205" s="118">
        <v>0</v>
      </c>
      <c r="E205" s="264" t="str">
        <f>DEC2HEX(((D205)*2^4),8)</f>
        <v>00000000</v>
      </c>
      <c r="F205" s="17" t="s">
        <v>423</v>
      </c>
      <c r="G205" s="353"/>
      <c r="H205" s="353"/>
      <c r="I205" s="356"/>
      <c r="J205" s="81"/>
    </row>
    <row r="206" spans="2:24" ht="229.5">
      <c r="B206" s="58" t="s">
        <v>415</v>
      </c>
      <c r="C206" s="89" t="s">
        <v>0</v>
      </c>
      <c r="D206" s="118">
        <v>1</v>
      </c>
      <c r="E206" s="264" t="str">
        <f>DEC2HEX(((D206)*2^3),8)</f>
        <v>00000008</v>
      </c>
      <c r="F206" s="17" t="s">
        <v>422</v>
      </c>
      <c r="G206" s="353"/>
      <c r="H206" s="353"/>
      <c r="I206" s="356"/>
      <c r="J206" s="81"/>
    </row>
    <row r="207" spans="2:24" ht="127.5">
      <c r="B207" s="58" t="s">
        <v>416</v>
      </c>
      <c r="C207" s="89" t="s">
        <v>0</v>
      </c>
      <c r="D207" s="118">
        <v>0</v>
      </c>
      <c r="E207" s="264" t="str">
        <f>DEC2HEX(((D207)*2^2),8)</f>
        <v>00000000</v>
      </c>
      <c r="F207" s="17" t="s">
        <v>421</v>
      </c>
      <c r="G207" s="353"/>
      <c r="H207" s="353"/>
      <c r="I207" s="356"/>
      <c r="J207" s="81"/>
    </row>
    <row r="208" spans="2:24" ht="76.5">
      <c r="B208" s="58" t="s">
        <v>417</v>
      </c>
      <c r="C208" s="89" t="s">
        <v>0</v>
      </c>
      <c r="D208" s="118">
        <v>0</v>
      </c>
      <c r="E208" s="264" t="str">
        <f>DEC2HEX(((D208)*2^1),8)</f>
        <v>00000000</v>
      </c>
      <c r="F208" s="17" t="s">
        <v>420</v>
      </c>
      <c r="G208" s="353"/>
      <c r="H208" s="353"/>
      <c r="I208" s="356"/>
      <c r="J208" s="81"/>
    </row>
    <row r="209" spans="2:10" ht="64.5" thickBot="1">
      <c r="B209" s="59" t="s">
        <v>418</v>
      </c>
      <c r="C209" s="92" t="s">
        <v>0</v>
      </c>
      <c r="D209" s="63">
        <v>0</v>
      </c>
      <c r="E209" s="265" t="str">
        <f>DEC2HEX(((D209)*2^0),8)</f>
        <v>00000000</v>
      </c>
      <c r="F209" s="34" t="s">
        <v>419</v>
      </c>
      <c r="G209" s="354"/>
      <c r="H209" s="354"/>
      <c r="I209" s="357"/>
      <c r="J209" s="81"/>
    </row>
    <row r="210" spans="2:10" ht="13.5" thickBot="1">
      <c r="B210" s="75"/>
      <c r="C210" s="76"/>
      <c r="D210" s="77"/>
      <c r="E210" s="36"/>
      <c r="F210" s="72"/>
      <c r="G210" s="80"/>
      <c r="H210" s="80"/>
      <c r="I210" s="80"/>
      <c r="J210" s="81"/>
    </row>
    <row r="211" spans="2:10" s="8" customFormat="1" ht="13.5" thickBot="1">
      <c r="B211" s="456" t="s">
        <v>185</v>
      </c>
      <c r="C211" s="457"/>
      <c r="D211" s="457"/>
      <c r="E211" s="457"/>
      <c r="F211" s="457"/>
      <c r="G211" s="457"/>
      <c r="H211" s="457"/>
      <c r="I211" s="458"/>
    </row>
    <row r="212" spans="2:10" s="8" customFormat="1" ht="13.5" thickBot="1">
      <c r="B212" s="25"/>
      <c r="E212" s="13"/>
      <c r="F212" s="25"/>
      <c r="G212" s="13"/>
      <c r="H212" s="13"/>
      <c r="I212" s="13"/>
    </row>
    <row r="213" spans="2:10" s="8" customFormat="1" ht="13.5" thickBot="1">
      <c r="B213" s="388" t="s">
        <v>186</v>
      </c>
      <c r="C213" s="389"/>
      <c r="D213" s="390"/>
      <c r="E213" s="13"/>
      <c r="F213" s="25"/>
      <c r="G213" s="13"/>
      <c r="H213" s="13"/>
      <c r="I213" s="13"/>
    </row>
    <row r="214" spans="2:10" s="8" customFormat="1" ht="77.25" thickBot="1">
      <c r="B214" s="2" t="s">
        <v>224</v>
      </c>
      <c r="C214" s="2" t="s">
        <v>5</v>
      </c>
      <c r="D214" s="2" t="s">
        <v>7</v>
      </c>
      <c r="E214" s="2" t="s">
        <v>6</v>
      </c>
      <c r="F214" s="4" t="s">
        <v>1</v>
      </c>
      <c r="G214" s="46" t="s">
        <v>3</v>
      </c>
      <c r="H214" s="5" t="s">
        <v>227</v>
      </c>
      <c r="I214" s="5" t="s">
        <v>4</v>
      </c>
    </row>
    <row r="215" spans="2:10" s="8" customFormat="1" ht="13.5" thickBot="1">
      <c r="B215" s="37"/>
      <c r="C215" s="37"/>
      <c r="D215" s="37"/>
      <c r="E215" s="37"/>
      <c r="F215" s="38"/>
      <c r="G215" s="39"/>
      <c r="H215" s="39"/>
      <c r="I215" s="39"/>
    </row>
    <row r="216" spans="2:10" s="8" customFormat="1" ht="38.25">
      <c r="B216" s="168" t="s">
        <v>594</v>
      </c>
      <c r="C216" s="226" t="s">
        <v>0</v>
      </c>
      <c r="D216" s="227">
        <v>1</v>
      </c>
      <c r="E216" s="169" t="str">
        <f>DEC2HEX(((D216)*2^28),8)</f>
        <v>10000000</v>
      </c>
      <c r="F216" s="307" t="s">
        <v>624</v>
      </c>
      <c r="G216" s="466" t="s">
        <v>43</v>
      </c>
      <c r="H216" s="469" t="str">
        <f>"0x"&amp;DEC2HEX((HEX2DEC(C33)+220), 8)</f>
        <v>0x3D4000DC</v>
      </c>
      <c r="I216" s="472" t="str">
        <f>"0x"&amp;DEC2HEX((HEX2DEC(E216)+HEX2DEC(E217)+HEX2DEC(E218)+HEX2DEC(E219)+HEX2DEC(E220)+HEX2DEC(E221)+HEX2DEC(E222)+HEX2DEC(E223)+HEX2DEC(E224)+HEX2DEC(E225)+HEX2DEC(E226)+HEX2DEC(E227)+HEX2DEC(E228)+HEX2DEC(E229)+HEX2DEC(E230)+HEX2DEC(E231)+HEX2DEC(E232)+HEX2DEC(E233)+HEX2DEC(E234)), 8)</f>
        <v>0x1C700004</v>
      </c>
    </row>
    <row r="217" spans="2:10" s="8" customFormat="1" ht="140.25">
      <c r="B217" s="170" t="s">
        <v>595</v>
      </c>
      <c r="C217" s="163" t="s">
        <v>0</v>
      </c>
      <c r="D217" s="285">
        <f>IF(C31&lt;400, 1, IF(C31&lt;533, 2, IF(C31&lt;667, 4, IF(C31&lt;800, 5, IF(C31&lt;933, 6, IF(C31&lt;1066, 7, 0))))))</f>
        <v>6</v>
      </c>
      <c r="E217" s="102" t="str">
        <f>DEC2HEX(((D217)*2^25),8)</f>
        <v>0C000000</v>
      </c>
      <c r="F217" s="164" t="s">
        <v>596</v>
      </c>
      <c r="G217" s="467"/>
      <c r="H217" s="470"/>
      <c r="I217" s="473"/>
    </row>
    <row r="218" spans="2:10" s="8" customFormat="1" ht="38.25">
      <c r="B218" s="170" t="s">
        <v>597</v>
      </c>
      <c r="C218" s="163" t="s">
        <v>0</v>
      </c>
      <c r="D218" s="219">
        <v>0</v>
      </c>
      <c r="E218" s="102" t="str">
        <f>DEC2HEX(((D218)*2^24),8)</f>
        <v>00000000</v>
      </c>
      <c r="F218" s="309" t="s">
        <v>598</v>
      </c>
      <c r="G218" s="467"/>
      <c r="H218" s="470"/>
      <c r="I218" s="473"/>
    </row>
    <row r="219" spans="2:10" s="8" customFormat="1" ht="38.25">
      <c r="B219" s="170" t="s">
        <v>599</v>
      </c>
      <c r="C219" s="163" t="s">
        <v>0</v>
      </c>
      <c r="D219" s="219">
        <v>0</v>
      </c>
      <c r="E219" s="102" t="str">
        <f>DEC2HEX(((D219)*2^19),8)</f>
        <v>00000000</v>
      </c>
      <c r="F219" s="309" t="s">
        <v>600</v>
      </c>
      <c r="G219" s="467"/>
      <c r="H219" s="470"/>
      <c r="I219" s="473"/>
    </row>
    <row r="220" spans="2:10" s="8" customFormat="1" ht="38.25">
      <c r="B220" s="162" t="s">
        <v>601</v>
      </c>
      <c r="C220" s="163" t="s">
        <v>0</v>
      </c>
      <c r="D220" s="311">
        <f>MOD(INT((11-4)/4),2)</f>
        <v>1</v>
      </c>
      <c r="E220" s="102" t="str">
        <f>DEC2HEX(((D220)*2^22),8)</f>
        <v>00400000</v>
      </c>
      <c r="F220" s="462" t="s">
        <v>602</v>
      </c>
      <c r="G220" s="467"/>
      <c r="H220" s="470"/>
      <c r="I220" s="473"/>
    </row>
    <row r="221" spans="2:10" s="8" customFormat="1" ht="38.25">
      <c r="B221" s="162" t="s">
        <v>603</v>
      </c>
      <c r="C221" s="163" t="s">
        <v>0</v>
      </c>
      <c r="D221" s="311">
        <f>MOD(INT((11-4)/2),2)</f>
        <v>1</v>
      </c>
      <c r="E221" s="102" t="str">
        <f>DEC2HEX(((D221)*2^21),8)</f>
        <v>00200000</v>
      </c>
      <c r="F221" s="463"/>
      <c r="G221" s="467"/>
      <c r="H221" s="470"/>
      <c r="I221" s="473"/>
    </row>
    <row r="222" spans="2:10" s="8" customFormat="1" ht="38.25">
      <c r="B222" s="162" t="s">
        <v>604</v>
      </c>
      <c r="C222" s="163" t="s">
        <v>0</v>
      </c>
      <c r="D222" s="312">
        <f>MOD(INT((11-4)),2)</f>
        <v>1</v>
      </c>
      <c r="E222" s="310" t="str">
        <f>DEC2HEX(((D222)*2^20),8)</f>
        <v>00100000</v>
      </c>
      <c r="F222" s="463"/>
      <c r="G222" s="467"/>
      <c r="H222" s="470"/>
      <c r="I222" s="473"/>
    </row>
    <row r="223" spans="2:10" s="8" customFormat="1" ht="38.25">
      <c r="B223" s="162" t="s">
        <v>605</v>
      </c>
      <c r="C223" s="163" t="s">
        <v>0</v>
      </c>
      <c r="D223" s="312">
        <v>0</v>
      </c>
      <c r="E223" s="310" t="str">
        <f>DEC2HEX(((D223)*2^18),8)</f>
        <v>00000000</v>
      </c>
      <c r="F223" s="464"/>
      <c r="G223" s="467"/>
      <c r="H223" s="470"/>
      <c r="I223" s="473"/>
    </row>
    <row r="224" spans="2:10" s="8" customFormat="1" ht="51.75" thickBot="1">
      <c r="B224" s="166" t="s">
        <v>595</v>
      </c>
      <c r="C224" s="167" t="s">
        <v>0</v>
      </c>
      <c r="D224" s="304">
        <v>0</v>
      </c>
      <c r="E224" s="159" t="str">
        <f>DEC2HEX(((D224)*2^16),8)</f>
        <v>00000000</v>
      </c>
      <c r="F224" s="171" t="s">
        <v>606</v>
      </c>
      <c r="G224" s="467"/>
      <c r="H224" s="470"/>
      <c r="I224" s="473"/>
    </row>
    <row r="225" spans="1:10" s="8" customFormat="1" ht="38.25">
      <c r="B225" s="170" t="s">
        <v>607</v>
      </c>
      <c r="C225" s="173" t="s">
        <v>0</v>
      </c>
      <c r="D225" s="160">
        <v>0</v>
      </c>
      <c r="E225" s="158" t="str">
        <f>DEC2HEX(((D225)*2^12),8)</f>
        <v>00000000</v>
      </c>
      <c r="F225" s="309" t="s">
        <v>608</v>
      </c>
      <c r="G225" s="467"/>
      <c r="H225" s="470"/>
      <c r="I225" s="473"/>
    </row>
    <row r="226" spans="1:10" s="8" customFormat="1" ht="38.25">
      <c r="B226" s="170" t="s">
        <v>609</v>
      </c>
      <c r="C226" s="163" t="s">
        <v>0</v>
      </c>
      <c r="D226" s="161">
        <v>0</v>
      </c>
      <c r="E226" s="158" t="str">
        <f>DEC2HEX(((D226)*2^11),8)</f>
        <v>00000000</v>
      </c>
      <c r="F226" s="309" t="s">
        <v>610</v>
      </c>
      <c r="G226" s="467"/>
      <c r="H226" s="470"/>
      <c r="I226" s="473"/>
    </row>
    <row r="227" spans="1:10" s="8" customFormat="1" ht="38.25">
      <c r="B227" s="170" t="s">
        <v>611</v>
      </c>
      <c r="C227" s="163"/>
      <c r="D227" s="313">
        <v>0</v>
      </c>
      <c r="E227" s="158" t="str">
        <f>DEC2HEX(((D227)*2^9),8)</f>
        <v>00000000</v>
      </c>
      <c r="F227" s="462" t="s">
        <v>612</v>
      </c>
      <c r="G227" s="467"/>
      <c r="H227" s="470"/>
      <c r="I227" s="473"/>
    </row>
    <row r="228" spans="1:10" s="8" customFormat="1" ht="38.25">
      <c r="B228" s="170" t="s">
        <v>613</v>
      </c>
      <c r="C228" s="163"/>
      <c r="D228" s="313">
        <v>0</v>
      </c>
      <c r="E228" s="158" t="str">
        <f>DEC2HEX(((D228)*2^6),8)</f>
        <v>00000000</v>
      </c>
      <c r="F228" s="463"/>
      <c r="G228" s="467"/>
      <c r="H228" s="470"/>
      <c r="I228" s="473"/>
    </row>
    <row r="229" spans="1:10" s="8" customFormat="1" ht="38.25">
      <c r="B229" s="170" t="s">
        <v>614</v>
      </c>
      <c r="C229" s="163"/>
      <c r="D229" s="313">
        <v>1</v>
      </c>
      <c r="E229" s="158" t="str">
        <f>DEC2HEX(((D229)*2^2),8)</f>
        <v>00000004</v>
      </c>
      <c r="F229" s="464"/>
      <c r="G229" s="467"/>
      <c r="H229" s="470"/>
      <c r="I229" s="473"/>
    </row>
    <row r="230" spans="1:10" s="8" customFormat="1" ht="38.25">
      <c r="B230" s="170" t="s">
        <v>615</v>
      </c>
      <c r="C230" s="163"/>
      <c r="D230" s="161">
        <v>0</v>
      </c>
      <c r="E230" s="158" t="str">
        <f>DEC2HEX(((D230)*2^7),8)</f>
        <v>00000000</v>
      </c>
      <c r="F230" s="309" t="s">
        <v>616</v>
      </c>
      <c r="G230" s="467"/>
      <c r="H230" s="470"/>
      <c r="I230" s="473"/>
    </row>
    <row r="231" spans="1:10" s="8" customFormat="1" ht="38.25">
      <c r="B231" s="170" t="s">
        <v>617</v>
      </c>
      <c r="C231" s="163"/>
      <c r="D231" s="313">
        <v>0</v>
      </c>
      <c r="E231" s="158" t="str">
        <f>DEC2HEX(((D231)*2^5),8)</f>
        <v>00000000</v>
      </c>
      <c r="F231" s="488" t="s">
        <v>618</v>
      </c>
      <c r="G231" s="467"/>
      <c r="H231" s="470"/>
      <c r="I231" s="473"/>
    </row>
    <row r="232" spans="1:10" s="8" customFormat="1" ht="38.25">
      <c r="B232" s="170" t="s">
        <v>619</v>
      </c>
      <c r="C232" s="163"/>
      <c r="D232" s="313">
        <v>0</v>
      </c>
      <c r="E232" s="158" t="str">
        <f>DEC2HEX(((D232)*2^1),8)</f>
        <v>00000000</v>
      </c>
      <c r="F232" s="489"/>
      <c r="G232" s="467"/>
      <c r="H232" s="470"/>
      <c r="I232" s="473"/>
    </row>
    <row r="233" spans="1:10" s="8" customFormat="1" ht="38.25">
      <c r="B233" s="170" t="s">
        <v>620</v>
      </c>
      <c r="C233" s="314" t="s">
        <v>0</v>
      </c>
      <c r="D233" s="308">
        <v>0</v>
      </c>
      <c r="E233" s="158" t="str">
        <f>DEC2HEX(((D233)*2^3),8)</f>
        <v>00000000</v>
      </c>
      <c r="F233" s="309" t="s">
        <v>621</v>
      </c>
      <c r="G233" s="467"/>
      <c r="H233" s="470"/>
      <c r="I233" s="473"/>
    </row>
    <row r="234" spans="1:10" s="8" customFormat="1" ht="39" thickBot="1">
      <c r="B234" s="166" t="s">
        <v>622</v>
      </c>
      <c r="C234" s="167" t="s">
        <v>0</v>
      </c>
      <c r="D234" s="315">
        <v>0</v>
      </c>
      <c r="E234" s="176" t="str">
        <f>DEC2HEX(((D234)*2^0),8)</f>
        <v>00000000</v>
      </c>
      <c r="F234" s="316" t="s">
        <v>623</v>
      </c>
      <c r="G234" s="468"/>
      <c r="H234" s="471"/>
      <c r="I234" s="474"/>
    </row>
    <row r="235" spans="1:10" s="8" customFormat="1" ht="15.75" thickBot="1">
      <c r="A235" s="12"/>
      <c r="B235" s="191"/>
      <c r="C235" s="192"/>
      <c r="D235" s="193"/>
      <c r="E235" s="194"/>
      <c r="F235" s="191"/>
      <c r="G235" s="195"/>
      <c r="H235" s="195"/>
      <c r="I235" s="195"/>
      <c r="J235" s="12"/>
    </row>
    <row r="236" spans="1:10" s="8" customFormat="1" ht="77.25" thickBot="1">
      <c r="B236" s="2" t="s">
        <v>225</v>
      </c>
      <c r="C236" s="2" t="s">
        <v>5</v>
      </c>
      <c r="D236" s="2" t="s">
        <v>7</v>
      </c>
      <c r="E236" s="2" t="s">
        <v>6</v>
      </c>
      <c r="F236" s="4" t="s">
        <v>1</v>
      </c>
      <c r="G236" s="46" t="s">
        <v>3</v>
      </c>
      <c r="H236" s="5" t="s">
        <v>227</v>
      </c>
      <c r="I236" s="5" t="s">
        <v>4</v>
      </c>
    </row>
    <row r="237" spans="1:10" s="8" customFormat="1" ht="13.5" thickBot="1">
      <c r="B237" s="37"/>
      <c r="C237" s="37"/>
      <c r="D237" s="37"/>
      <c r="E237" s="37"/>
      <c r="F237" s="38"/>
      <c r="G237" s="39"/>
      <c r="H237" s="39"/>
      <c r="I237" s="39"/>
    </row>
    <row r="238" spans="1:10" s="8" customFormat="1" ht="76.5">
      <c r="B238" s="180" t="s">
        <v>625</v>
      </c>
      <c r="C238" s="153" t="s">
        <v>0</v>
      </c>
      <c r="D238" s="317">
        <v>0</v>
      </c>
      <c r="E238" s="249" t="str">
        <f>DEC2HEX(((D238)*2^25),8)</f>
        <v>00000000</v>
      </c>
      <c r="F238" s="178" t="s">
        <v>626</v>
      </c>
      <c r="G238" s="475" t="s">
        <v>42</v>
      </c>
      <c r="H238" s="352" t="str">
        <f>"0x"&amp;DEC2HEX((HEX2DEC(C33)+224), 8)</f>
        <v>0x3D4000E0</v>
      </c>
      <c r="I238" s="355" t="str">
        <f>"0x"&amp;DEC2HEX((HEX2DEC(E238)+HEX2DEC(E239)+HEX2DEC(E240)+HEX2DEC(E241)+HEX2DEC(E242)+HEX2DEC(E243) ), 8)</f>
        <v>0x00180000</v>
      </c>
    </row>
    <row r="239" spans="1:10" s="8" customFormat="1" ht="51">
      <c r="B239" s="100" t="s">
        <v>627</v>
      </c>
      <c r="C239" s="97" t="s">
        <v>0</v>
      </c>
      <c r="D239" s="184">
        <v>0</v>
      </c>
      <c r="E239" s="84" t="str">
        <f>DEC2HEX(((D239)*2^23),8)</f>
        <v>00000000</v>
      </c>
      <c r="F239" s="101" t="s">
        <v>628</v>
      </c>
      <c r="G239" s="476"/>
      <c r="H239" s="353"/>
      <c r="I239" s="356"/>
    </row>
    <row r="240" spans="1:10" s="8" customFormat="1" ht="51">
      <c r="B240" s="100" t="s">
        <v>629</v>
      </c>
      <c r="C240" s="97" t="s">
        <v>0</v>
      </c>
      <c r="D240" s="184">
        <v>0</v>
      </c>
      <c r="E240" s="84" t="str">
        <f>DEC2HEX(((D240)*2^22),8)</f>
        <v>00000000</v>
      </c>
      <c r="F240" s="101" t="s">
        <v>630</v>
      </c>
      <c r="G240" s="476"/>
      <c r="H240" s="353"/>
      <c r="I240" s="356"/>
    </row>
    <row r="241" spans="2:13" s="8" customFormat="1" ht="141" thickBot="1">
      <c r="B241" s="182" t="s">
        <v>631</v>
      </c>
      <c r="C241" s="98" t="s">
        <v>0</v>
      </c>
      <c r="D241" s="318">
        <f>C153-5</f>
        <v>3</v>
      </c>
      <c r="E241" s="99" t="str">
        <f>DEC2HEX(((D241)*2^19),8)</f>
        <v>00180000</v>
      </c>
      <c r="F241" s="179" t="s">
        <v>632</v>
      </c>
      <c r="G241" s="476"/>
      <c r="H241" s="353"/>
      <c r="I241" s="356"/>
    </row>
    <row r="242" spans="2:13" s="8" customFormat="1" ht="51">
      <c r="B242" s="181" t="s">
        <v>633</v>
      </c>
      <c r="C242" s="155" t="s">
        <v>0</v>
      </c>
      <c r="D242" s="183">
        <v>0</v>
      </c>
      <c r="E242" s="83" t="str">
        <f>DEC2HEX(((D242)*2^2),8)</f>
        <v>00000000</v>
      </c>
      <c r="F242" s="178" t="s">
        <v>634</v>
      </c>
      <c r="G242" s="476"/>
      <c r="H242" s="353"/>
      <c r="I242" s="356"/>
    </row>
    <row r="243" spans="2:13" s="8" customFormat="1" ht="51.75" thickBot="1">
      <c r="B243" s="182" t="s">
        <v>635</v>
      </c>
      <c r="C243" s="98" t="s">
        <v>0</v>
      </c>
      <c r="D243" s="185">
        <v>0</v>
      </c>
      <c r="E243" s="99" t="str">
        <f>DEC2HEX(((D243)*2^0),8)</f>
        <v>00000000</v>
      </c>
      <c r="F243" s="179" t="s">
        <v>636</v>
      </c>
      <c r="G243" s="477"/>
      <c r="H243" s="354"/>
      <c r="I243" s="357"/>
    </row>
    <row r="244" spans="2:13" s="8" customFormat="1" ht="13.5" thickBot="1">
      <c r="B244" s="300"/>
      <c r="C244" s="255"/>
      <c r="D244" s="301"/>
      <c r="E244" s="256"/>
      <c r="F244" s="302"/>
      <c r="G244" s="303"/>
      <c r="H244" s="80"/>
      <c r="I244" s="80"/>
    </row>
    <row r="245" spans="2:13" s="8" customFormat="1" ht="153">
      <c r="B245" s="57" t="s">
        <v>514</v>
      </c>
      <c r="C245" s="64">
        <f>MAX(512, 640/C32)</f>
        <v>512</v>
      </c>
      <c r="D245" s="87">
        <f>ROUNDUP(C245/32/2 + 1, 0)</f>
        <v>9</v>
      </c>
      <c r="E245" s="286" t="str">
        <f>DEC2HEX(((D245)*2^16),8)</f>
        <v>00090000</v>
      </c>
      <c r="F245" s="125" t="s">
        <v>515</v>
      </c>
      <c r="G245" s="361" t="s">
        <v>511</v>
      </c>
      <c r="H245" s="361" t="str">
        <f>"0x"&amp;DEC2HEX((HEX2DEC(C33)+228), 8)</f>
        <v>0x3D4000E4</v>
      </c>
      <c r="I245" s="362" t="str">
        <f>"0x"&amp;DEC2HEX((HEX2DEC(E245)+HEX2DEC(E246)), 8)</f>
        <v>0x00090000</v>
      </c>
    </row>
    <row r="246" spans="2:13" s="8" customFormat="1" ht="90" thickBot="1">
      <c r="B246" s="59" t="s">
        <v>512</v>
      </c>
      <c r="C246" s="62" t="s">
        <v>0</v>
      </c>
      <c r="D246" s="63">
        <v>0</v>
      </c>
      <c r="E246" s="288" t="str">
        <f>DEC2HEX(((D246)*2^0),8)</f>
        <v>00000000</v>
      </c>
      <c r="F246" s="127" t="s">
        <v>513</v>
      </c>
      <c r="G246" s="354"/>
      <c r="H246" s="354"/>
      <c r="I246" s="357"/>
    </row>
    <row r="247" spans="2:13" s="8" customFormat="1" ht="13.5" thickBot="1">
      <c r="E247" s="13"/>
      <c r="F247" s="25"/>
      <c r="G247" s="13"/>
      <c r="H247" s="13"/>
      <c r="I247" s="13"/>
    </row>
    <row r="248" spans="2:13" ht="13.5" thickBot="1">
      <c r="B248" s="456" t="s">
        <v>171</v>
      </c>
      <c r="C248" s="457"/>
      <c r="D248" s="457"/>
      <c r="E248" s="457"/>
      <c r="F248" s="457"/>
      <c r="G248" s="457"/>
      <c r="H248" s="457"/>
      <c r="I248" s="458"/>
      <c r="J248" s="81"/>
      <c r="L248" s="103"/>
      <c r="M248" s="103"/>
    </row>
    <row r="249" spans="2:13" s="103" customFormat="1" ht="13.5" thickBot="1">
      <c r="B249" s="104"/>
      <c r="C249" s="104"/>
      <c r="D249" s="104"/>
      <c r="E249" s="104"/>
      <c r="F249" s="104"/>
      <c r="G249" s="104"/>
      <c r="H249" s="104"/>
      <c r="I249" s="104"/>
      <c r="J249" s="105"/>
      <c r="L249" s="8"/>
      <c r="M249" s="8"/>
    </row>
    <row r="250" spans="2:13" ht="51.75" thickBot="1">
      <c r="B250" s="14" t="s">
        <v>78</v>
      </c>
      <c r="C250" s="16" t="s">
        <v>101</v>
      </c>
      <c r="D250" s="91" t="s">
        <v>100</v>
      </c>
      <c r="E250" s="14" t="s">
        <v>6</v>
      </c>
      <c r="F250" s="15" t="s">
        <v>1</v>
      </c>
      <c r="G250" s="35" t="s">
        <v>3</v>
      </c>
      <c r="H250" s="16" t="s">
        <v>228</v>
      </c>
      <c r="I250" s="16" t="s">
        <v>4</v>
      </c>
      <c r="J250" s="18"/>
    </row>
    <row r="251" spans="2:13" ht="114.75">
      <c r="B251" s="57" t="s">
        <v>138</v>
      </c>
      <c r="C251" s="64"/>
      <c r="D251" s="190">
        <v>3</v>
      </c>
      <c r="E251" s="137" t="str">
        <f>DEC2HEX(((D251)*2^24),8)</f>
        <v>03000000</v>
      </c>
      <c r="F251" s="33" t="s">
        <v>271</v>
      </c>
      <c r="G251" s="361" t="s">
        <v>52</v>
      </c>
      <c r="H251" s="361" t="str">
        <f>"0x"&amp;DEC2HEX((HEX2DEC(C33)+400), 8)</f>
        <v>0x3D400190</v>
      </c>
      <c r="I251" s="400" t="str">
        <f>"0x"&amp;DEC2HEX((HEX2DEC(E251)+HEX2DEC(E252)+HEX2DEC(E253)+HEX2DEC(E254)+HEX2DEC(E255)+HEX2DEC(E256)), 8)</f>
        <v>0x03868203</v>
      </c>
      <c r="J251" s="18"/>
    </row>
    <row r="252" spans="2:13" ht="114.75">
      <c r="B252" s="58" t="s">
        <v>139</v>
      </c>
      <c r="C252" s="60"/>
      <c r="D252" s="118">
        <v>1</v>
      </c>
      <c r="E252" s="135" t="str">
        <f>DEC2HEX(((D252)*2^23),8)</f>
        <v>00800000</v>
      </c>
      <c r="F252" s="17" t="s">
        <v>251</v>
      </c>
      <c r="G252" s="353"/>
      <c r="H252" s="353"/>
      <c r="I252" s="402"/>
      <c r="J252" s="18"/>
    </row>
    <row r="253" spans="2:13" ht="140.25">
      <c r="B253" s="58" t="s">
        <v>140</v>
      </c>
      <c r="C253" s="60"/>
      <c r="D253" s="117">
        <f>(C154 - 5)</f>
        <v>6</v>
      </c>
      <c r="E253" s="135" t="str">
        <f>DEC2HEX(((D253)*2^16),8)</f>
        <v>00060000</v>
      </c>
      <c r="F253" s="32" t="s">
        <v>270</v>
      </c>
      <c r="G253" s="353"/>
      <c r="H253" s="353"/>
      <c r="I253" s="402"/>
      <c r="J253" s="189"/>
    </row>
    <row r="254" spans="2:13" ht="140.25">
      <c r="B254" s="58" t="s">
        <v>141</v>
      </c>
      <c r="C254" s="60"/>
      <c r="D254" s="118">
        <v>1</v>
      </c>
      <c r="E254" s="135" t="str">
        <f>DEC2HEX(((D254)*2^15),8)</f>
        <v>00008000</v>
      </c>
      <c r="F254" s="32" t="s">
        <v>252</v>
      </c>
      <c r="G254" s="353"/>
      <c r="H254" s="353"/>
      <c r="I254" s="402"/>
      <c r="J254" s="18"/>
    </row>
    <row r="255" spans="2:13" ht="102">
      <c r="B255" s="74" t="s">
        <v>142</v>
      </c>
      <c r="C255" s="60"/>
      <c r="D255" s="118">
        <v>2</v>
      </c>
      <c r="E255" s="135" t="str">
        <f>DEC2HEX(((D255)*2^8),8)</f>
        <v>00000200</v>
      </c>
      <c r="F255" s="32" t="s">
        <v>74</v>
      </c>
      <c r="G255" s="353"/>
      <c r="H255" s="353"/>
      <c r="I255" s="402"/>
      <c r="J255" s="18"/>
    </row>
    <row r="256" spans="2:13" ht="102.75" thickBot="1">
      <c r="B256" s="138" t="s">
        <v>143</v>
      </c>
      <c r="C256" s="62"/>
      <c r="D256" s="134">
        <f>C153-5</f>
        <v>3</v>
      </c>
      <c r="E256" s="136" t="str">
        <f>DEC2HEX(((D256)*2^0),8)</f>
        <v>00000003</v>
      </c>
      <c r="F256" s="34" t="s">
        <v>275</v>
      </c>
      <c r="G256" s="354"/>
      <c r="H256" s="354"/>
      <c r="I256" s="403"/>
      <c r="J256" s="189"/>
    </row>
    <row r="257" spans="1:10" ht="13.5" thickBot="1">
      <c r="B257" s="68"/>
      <c r="C257" s="69"/>
      <c r="D257" s="70"/>
      <c r="E257" s="71"/>
      <c r="F257" s="72"/>
      <c r="G257" s="36"/>
      <c r="H257" s="36"/>
      <c r="I257" s="54"/>
      <c r="J257" s="18"/>
    </row>
    <row r="258" spans="1:10" ht="102">
      <c r="B258" s="57" t="s">
        <v>209</v>
      </c>
      <c r="C258" s="64" t="s">
        <v>0</v>
      </c>
      <c r="D258" s="56">
        <v>0</v>
      </c>
      <c r="E258" s="51" t="str">
        <f>DEC2HEX(((D258)*2^28),8)</f>
        <v>00000000</v>
      </c>
      <c r="F258" s="33" t="s">
        <v>210</v>
      </c>
      <c r="G258" s="361" t="s">
        <v>53</v>
      </c>
      <c r="H258" s="361" t="str">
        <f>"0x"&amp;DEC2HEX((HEX2DEC(C33)+404), 8)</f>
        <v>0x3D400194</v>
      </c>
      <c r="I258" s="362" t="str">
        <f>"0x"&amp;DEC2HEX((HEX2DEC(E258)+HEX2DEC(E259)+HEX2DEC(E260)+HEX2DEC(E261)+HEX2DEC(E262)), 8)</f>
        <v>0x00020303</v>
      </c>
      <c r="J258" s="18"/>
    </row>
    <row r="259" spans="1:10" ht="51">
      <c r="B259" s="58" t="s">
        <v>211</v>
      </c>
      <c r="C259" s="60" t="s">
        <v>0</v>
      </c>
      <c r="D259" s="61">
        <v>0</v>
      </c>
      <c r="E259" s="52" t="str">
        <f>DEC2HEX(((D259)*2^24),8)</f>
        <v>00000000</v>
      </c>
      <c r="F259" s="17" t="s">
        <v>212</v>
      </c>
      <c r="G259" s="353"/>
      <c r="H259" s="353"/>
      <c r="I259" s="356"/>
      <c r="J259" s="18"/>
    </row>
    <row r="260" spans="1:10" ht="191.25">
      <c r="B260" s="58" t="s">
        <v>144</v>
      </c>
      <c r="C260" s="60" t="s">
        <v>0</v>
      </c>
      <c r="D260" s="61">
        <v>2</v>
      </c>
      <c r="E260" s="52" t="str">
        <f>DEC2HEX(((D260)*2^16),8)</f>
        <v>00020000</v>
      </c>
      <c r="F260" s="32" t="s">
        <v>208</v>
      </c>
      <c r="G260" s="353"/>
      <c r="H260" s="353"/>
      <c r="I260" s="356"/>
      <c r="J260" s="18"/>
    </row>
    <row r="261" spans="1:10" ht="89.25">
      <c r="B261" s="58" t="s">
        <v>145</v>
      </c>
      <c r="C261" s="60" t="s">
        <v>0</v>
      </c>
      <c r="D261" s="61">
        <v>3</v>
      </c>
      <c r="E261" s="52" t="str">
        <f>DEC2HEX(((D261)*2^8),8)</f>
        <v>00000300</v>
      </c>
      <c r="F261" s="32" t="s">
        <v>72</v>
      </c>
      <c r="G261" s="353"/>
      <c r="H261" s="353"/>
      <c r="I261" s="356"/>
      <c r="J261" s="18"/>
    </row>
    <row r="262" spans="1:10" ht="90" thickBot="1">
      <c r="B262" s="59" t="s">
        <v>146</v>
      </c>
      <c r="C262" s="62" t="s">
        <v>0</v>
      </c>
      <c r="D262" s="63">
        <v>3</v>
      </c>
      <c r="E262" s="53" t="str">
        <f>DEC2HEX(((D262)*2^0),8)</f>
        <v>00000003</v>
      </c>
      <c r="F262" s="34" t="s">
        <v>73</v>
      </c>
      <c r="G262" s="354"/>
      <c r="H262" s="354"/>
      <c r="I262" s="357"/>
      <c r="J262" s="18"/>
    </row>
    <row r="263" spans="1:10" ht="13.5" thickBot="1">
      <c r="B263" s="75"/>
      <c r="C263" s="76"/>
      <c r="D263" s="77"/>
      <c r="E263" s="36"/>
      <c r="F263" s="72"/>
      <c r="G263" s="80"/>
      <c r="H263" s="80"/>
      <c r="I263" s="80"/>
      <c r="J263" s="18"/>
    </row>
    <row r="264" spans="1:10" ht="102">
      <c r="B264" s="168" t="s">
        <v>543</v>
      </c>
      <c r="C264" s="226" t="s">
        <v>0</v>
      </c>
      <c r="D264" s="227">
        <v>7</v>
      </c>
      <c r="E264" s="169" t="str">
        <f>DEC2HEX(((D264)*2^24),8)</f>
        <v>07000000</v>
      </c>
      <c r="F264" s="228" t="s">
        <v>544</v>
      </c>
      <c r="G264" s="466" t="s">
        <v>689</v>
      </c>
      <c r="H264" s="469" t="str">
        <f>"0x"&amp;DEC2HEX((HEX2DEC(C33)+408), 8)</f>
        <v>0x3D400198</v>
      </c>
      <c r="I264" s="472" t="str">
        <f>"0x"&amp;DEC2HEX((HEX2DEC(E264)+HEX2DEC(E265)+HEX2DEC(E266)+HEX2DEC(E267)+HEX2DEC(E268)+HEX2DEC(E269)+HEX2DEC(E270)),8)</f>
        <v>0x07000000</v>
      </c>
      <c r="J264" s="18"/>
    </row>
    <row r="265" spans="1:10" ht="306">
      <c r="B265" s="170" t="s">
        <v>542</v>
      </c>
      <c r="C265" s="163" t="s">
        <v>0</v>
      </c>
      <c r="D265" s="121">
        <v>0</v>
      </c>
      <c r="E265" s="102" t="str">
        <f>DEC2HEX(((D265)*2^20),8)</f>
        <v>00000000</v>
      </c>
      <c r="F265" s="164" t="s">
        <v>690</v>
      </c>
      <c r="G265" s="467"/>
      <c r="H265" s="470"/>
      <c r="I265" s="473"/>
      <c r="J265" s="18"/>
    </row>
    <row r="266" spans="1:10" ht="114.75">
      <c r="B266" s="162" t="s">
        <v>540</v>
      </c>
      <c r="C266" s="163" t="s">
        <v>0</v>
      </c>
      <c r="D266" s="219">
        <v>0</v>
      </c>
      <c r="E266" s="102" t="str">
        <f>DEC2HEX(((D266)*2^16),8)</f>
        <v>00000000</v>
      </c>
      <c r="F266" s="165" t="s">
        <v>541</v>
      </c>
      <c r="G266" s="467"/>
      <c r="H266" s="470"/>
      <c r="I266" s="473"/>
      <c r="J266" s="18"/>
    </row>
    <row r="267" spans="1:10" ht="280.5">
      <c r="B267" s="162" t="s">
        <v>539</v>
      </c>
      <c r="C267" s="163" t="s">
        <v>0</v>
      </c>
      <c r="D267" s="219">
        <v>0</v>
      </c>
      <c r="E267" s="102" t="str">
        <f>DEC2HEX(((D267)*2^12),8)</f>
        <v>00000000</v>
      </c>
      <c r="F267" s="165" t="s">
        <v>691</v>
      </c>
      <c r="G267" s="467"/>
      <c r="H267" s="470"/>
      <c r="I267" s="473"/>
      <c r="J267" s="18"/>
    </row>
    <row r="268" spans="1:10" ht="89.25">
      <c r="B268" s="172" t="s">
        <v>537</v>
      </c>
      <c r="C268" s="163" t="s">
        <v>0</v>
      </c>
      <c r="D268" s="161">
        <v>0</v>
      </c>
      <c r="E268" s="158" t="str">
        <f>DEC2HEX(((D268)*2^8),8)</f>
        <v>00000000</v>
      </c>
      <c r="F268" s="174" t="s">
        <v>538</v>
      </c>
      <c r="G268" s="467"/>
      <c r="H268" s="470"/>
      <c r="I268" s="473"/>
      <c r="J268" s="18"/>
    </row>
    <row r="269" spans="1:10" ht="280.5">
      <c r="B269" s="172" t="s">
        <v>535</v>
      </c>
      <c r="C269" s="163" t="s">
        <v>0</v>
      </c>
      <c r="D269" s="121">
        <v>0</v>
      </c>
      <c r="E269" s="158" t="str">
        <f>DEC2HEX(((D269)*2^4),8)</f>
        <v>00000000</v>
      </c>
      <c r="F269" s="174" t="s">
        <v>536</v>
      </c>
      <c r="G269" s="467"/>
      <c r="H269" s="470"/>
      <c r="I269" s="473"/>
      <c r="J269" s="18"/>
    </row>
    <row r="270" spans="1:10" ht="90" thickBot="1">
      <c r="B270" s="175" t="s">
        <v>533</v>
      </c>
      <c r="C270" s="167" t="s">
        <v>0</v>
      </c>
      <c r="D270" s="122">
        <v>0</v>
      </c>
      <c r="E270" s="176" t="str">
        <f>DEC2HEX(((D270)*2^0),8)</f>
        <v>00000000</v>
      </c>
      <c r="F270" s="177" t="s">
        <v>534</v>
      </c>
      <c r="G270" s="468"/>
      <c r="H270" s="471"/>
      <c r="I270" s="474"/>
      <c r="J270" s="18"/>
    </row>
    <row r="271" spans="1:10" ht="13.5" thickBot="1">
      <c r="B271" s="75"/>
      <c r="C271" s="76"/>
      <c r="D271" s="77"/>
      <c r="E271" s="36"/>
      <c r="F271" s="72"/>
      <c r="G271" s="80"/>
      <c r="H271" s="80"/>
      <c r="I271" s="80"/>
      <c r="J271" s="18"/>
    </row>
    <row r="272" spans="1:10" ht="63.75">
      <c r="A272" s="217"/>
      <c r="B272" s="57" t="s">
        <v>214</v>
      </c>
      <c r="C272" s="88" t="s">
        <v>0</v>
      </c>
      <c r="D272" s="87">
        <f>(C154-5)</f>
        <v>6</v>
      </c>
      <c r="E272" s="215" t="str">
        <f>DEC2HEX(((D272)*2^8),8)</f>
        <v>00000600</v>
      </c>
      <c r="F272" s="33" t="s">
        <v>273</v>
      </c>
      <c r="G272" s="352" t="s">
        <v>213</v>
      </c>
      <c r="H272" s="352" t="str">
        <f>"0x"&amp;DEC2HEX((HEX2DEC(C33)+436), 8)</f>
        <v>0x3D4001B4</v>
      </c>
      <c r="I272" s="362" t="str">
        <f>"0x"&amp;DEC2HEX((HEX2DEC(E272)+HEX2DEC(E273)), 8)</f>
        <v>0x00000603</v>
      </c>
      <c r="J272" s="18"/>
    </row>
    <row r="273" spans="1:11" ht="90" thickBot="1">
      <c r="A273" s="217"/>
      <c r="B273" s="59" t="s">
        <v>215</v>
      </c>
      <c r="C273" s="92" t="s">
        <v>0</v>
      </c>
      <c r="D273" s="150">
        <f>(C153-5)</f>
        <v>3</v>
      </c>
      <c r="E273" s="216" t="str">
        <f>DEC2HEX(((D273)*2^0),8)</f>
        <v>00000003</v>
      </c>
      <c r="F273" s="34" t="s">
        <v>274</v>
      </c>
      <c r="G273" s="354"/>
      <c r="H273" s="354"/>
      <c r="I273" s="357"/>
      <c r="J273" s="18"/>
    </row>
    <row r="274" spans="1:11" ht="13.5" thickBot="1">
      <c r="B274" s="75"/>
      <c r="C274" s="96"/>
      <c r="D274" s="77"/>
      <c r="E274" s="36"/>
      <c r="F274" s="72"/>
      <c r="G274" s="80"/>
      <c r="H274" s="80"/>
      <c r="I274" s="80"/>
      <c r="J274" s="18"/>
    </row>
    <row r="275" spans="1:11" ht="63.75">
      <c r="B275" s="57" t="s">
        <v>280</v>
      </c>
      <c r="C275" s="88" t="s">
        <v>0</v>
      </c>
      <c r="D275" s="56">
        <v>1</v>
      </c>
      <c r="E275" s="250" t="str">
        <f>DEC2HEX(((D275)*2^4),8)</f>
        <v>00000010</v>
      </c>
      <c r="F275" s="33" t="s">
        <v>272</v>
      </c>
      <c r="G275" s="352" t="s">
        <v>216</v>
      </c>
      <c r="H275" s="352" t="str">
        <f>"0x"&amp;DEC2HEX((HEX2DEC(C33)+432), 8)</f>
        <v>0x3D4001B0</v>
      </c>
      <c r="I275" s="355" t="str">
        <f>"0x"&amp;DEC2HEX((HEX2DEC(E276)+HEX2DEC(E277)+HEX2DEC(E278)+HEX2DEC(E275)), 8)</f>
        <v>0x00000011</v>
      </c>
      <c r="J275" s="18"/>
    </row>
    <row r="276" spans="1:11" ht="63.75">
      <c r="B276" s="58" t="s">
        <v>217</v>
      </c>
      <c r="C276" s="89" t="s">
        <v>0</v>
      </c>
      <c r="D276" s="118">
        <v>0</v>
      </c>
      <c r="E276" s="251" t="str">
        <f>DEC2HEX(((D276)*2^2),8)</f>
        <v>00000000</v>
      </c>
      <c r="F276" s="17" t="s">
        <v>220</v>
      </c>
      <c r="G276" s="353"/>
      <c r="H276" s="353"/>
      <c r="I276" s="356"/>
      <c r="J276" s="387"/>
      <c r="K276" s="382"/>
    </row>
    <row r="277" spans="1:11" ht="63.75">
      <c r="B277" s="58" t="s">
        <v>218</v>
      </c>
      <c r="C277" s="89" t="s">
        <v>0</v>
      </c>
      <c r="D277" s="118">
        <v>0</v>
      </c>
      <c r="E277" s="251" t="str">
        <f>DEC2HEX(((D277)*2^1),8)</f>
        <v>00000000</v>
      </c>
      <c r="F277" s="17" t="s">
        <v>221</v>
      </c>
      <c r="G277" s="353"/>
      <c r="H277" s="353"/>
      <c r="I277" s="356"/>
      <c r="J277" s="387"/>
      <c r="K277" s="382"/>
    </row>
    <row r="278" spans="1:11" ht="51.75" thickBot="1">
      <c r="B278" s="59" t="s">
        <v>219</v>
      </c>
      <c r="C278" s="92" t="s">
        <v>0</v>
      </c>
      <c r="D278" s="63">
        <v>1</v>
      </c>
      <c r="E278" s="252" t="str">
        <f>DEC2HEX(((D278)*2^0),8)</f>
        <v>00000001</v>
      </c>
      <c r="F278" s="34" t="s">
        <v>222</v>
      </c>
      <c r="G278" s="354"/>
      <c r="H278" s="354"/>
      <c r="I278" s="357"/>
      <c r="J278" s="387"/>
      <c r="K278" s="382"/>
    </row>
    <row r="279" spans="1:11" ht="13.5" thickBot="1">
      <c r="B279" s="68"/>
      <c r="C279" s="69"/>
      <c r="D279" s="70"/>
      <c r="E279" s="71"/>
      <c r="F279" s="72"/>
      <c r="G279" s="36"/>
      <c r="H279" s="36"/>
      <c r="I279" s="54"/>
      <c r="J279" s="18"/>
    </row>
    <row r="280" spans="1:11" ht="102">
      <c r="B280" s="57" t="s">
        <v>147</v>
      </c>
      <c r="C280" s="64" t="s">
        <v>0</v>
      </c>
      <c r="D280" s="56">
        <v>0</v>
      </c>
      <c r="E280" s="51" t="str">
        <f>DEC2HEX(((D280)*2^31),8)</f>
        <v>00000000</v>
      </c>
      <c r="F280" s="125" t="s">
        <v>71</v>
      </c>
      <c r="G280" s="361" t="s">
        <v>54</v>
      </c>
      <c r="H280" s="361" t="str">
        <f>"0x"&amp;DEC2HEX((HEX2DEC(C33)+416), 8)</f>
        <v>0x3D4001A0</v>
      </c>
      <c r="I280" s="362" t="str">
        <f>"0x"&amp;DEC2HEX((HEX2DEC(E280)+HEX2DEC(E281)+HEX2DEC(E282)+HEX2DEC(E283)+HEX2DEC(E284)), 8)</f>
        <v>0x00400018</v>
      </c>
      <c r="J280" s="18"/>
    </row>
    <row r="281" spans="1:11" ht="102">
      <c r="B281" s="58" t="s">
        <v>148</v>
      </c>
      <c r="C281" s="60" t="s">
        <v>0</v>
      </c>
      <c r="D281" s="61">
        <v>0</v>
      </c>
      <c r="E281" s="52" t="str">
        <f>DEC2HEX(((D281)*2^30),8)</f>
        <v>00000000</v>
      </c>
      <c r="F281" s="17" t="s">
        <v>70</v>
      </c>
      <c r="G281" s="353"/>
      <c r="H281" s="353"/>
      <c r="I281" s="356"/>
      <c r="J281" s="18"/>
    </row>
    <row r="282" spans="1:11" ht="76.5">
      <c r="B282" s="58" t="s">
        <v>281</v>
      </c>
      <c r="C282" s="60" t="s">
        <v>0</v>
      </c>
      <c r="D282" s="118">
        <v>0</v>
      </c>
      <c r="E282" s="257" t="str">
        <f>DEC2HEX(((D282)*2^29),8)</f>
        <v>00000000</v>
      </c>
      <c r="F282" s="222" t="s">
        <v>282</v>
      </c>
      <c r="G282" s="353"/>
      <c r="H282" s="353"/>
      <c r="I282" s="356"/>
      <c r="J282" s="18"/>
    </row>
    <row r="283" spans="1:11" ht="63.75">
      <c r="B283" s="74" t="s">
        <v>149</v>
      </c>
      <c r="C283" s="60" t="s">
        <v>0</v>
      </c>
      <c r="D283" s="61">
        <v>64</v>
      </c>
      <c r="E283" s="52" t="str">
        <f>DEC2HEX(((D283)*2^16),8)</f>
        <v>00400000</v>
      </c>
      <c r="F283" s="32" t="s">
        <v>68</v>
      </c>
      <c r="G283" s="353"/>
      <c r="H283" s="353"/>
      <c r="I283" s="356"/>
      <c r="J283" s="18"/>
    </row>
    <row r="284" spans="1:11" ht="102.75" thickBot="1">
      <c r="B284" s="59" t="s">
        <v>150</v>
      </c>
      <c r="C284" s="62" t="s">
        <v>0</v>
      </c>
      <c r="D284" s="63">
        <v>24</v>
      </c>
      <c r="E284" s="53" t="str">
        <f>DEC2HEX(((D284)*2^0),8)</f>
        <v>00000018</v>
      </c>
      <c r="F284" s="34" t="s">
        <v>69</v>
      </c>
      <c r="G284" s="354"/>
      <c r="H284" s="354"/>
      <c r="I284" s="357"/>
      <c r="J284" s="18"/>
    </row>
    <row r="285" spans="1:11" ht="13.5" thickBot="1">
      <c r="B285" s="68"/>
      <c r="C285" s="69"/>
      <c r="D285" s="70"/>
      <c r="E285" s="71"/>
      <c r="F285" s="72"/>
      <c r="G285" s="36"/>
      <c r="H285" s="36"/>
      <c r="I285" s="54"/>
      <c r="J285" s="18"/>
    </row>
    <row r="286" spans="1:11" ht="102">
      <c r="B286" s="57" t="s">
        <v>151</v>
      </c>
      <c r="C286" s="64" t="s">
        <v>0</v>
      </c>
      <c r="D286" s="190">
        <v>5</v>
      </c>
      <c r="E286" s="51" t="str">
        <f>DEC2HEX(((D286)*2^16),8)</f>
        <v>00050000</v>
      </c>
      <c r="F286" s="33" t="s">
        <v>67</v>
      </c>
      <c r="G286" s="361" t="s">
        <v>55</v>
      </c>
      <c r="H286" s="361" t="str">
        <f>"0x"&amp;DEC2HEX((HEX2DEC(C33)+420), 8)</f>
        <v>0x3D4001A4</v>
      </c>
      <c r="I286" s="362" t="str">
        <f>"0x"&amp;DEC2HEX((HEX2DEC(E286)+HEX2DEC(E287)), 8)</f>
        <v>0x0005003C</v>
      </c>
      <c r="J286" s="18"/>
    </row>
    <row r="287" spans="1:11" ht="179.25" thickBot="1">
      <c r="B287" s="59" t="s">
        <v>152</v>
      </c>
      <c r="C287" s="62" t="s">
        <v>0</v>
      </c>
      <c r="D287" s="63">
        <v>60</v>
      </c>
      <c r="E287" s="53" t="str">
        <f>DEC2HEX(((D287)*2^0),8)</f>
        <v>0000003C</v>
      </c>
      <c r="F287" s="34" t="s">
        <v>223</v>
      </c>
      <c r="G287" s="354"/>
      <c r="H287" s="354"/>
      <c r="I287" s="357"/>
      <c r="J287" s="18"/>
    </row>
    <row r="288" spans="1:11" ht="13.5" thickBot="1">
      <c r="B288" s="68"/>
      <c r="C288" s="69"/>
      <c r="D288" s="70"/>
      <c r="E288" s="71"/>
      <c r="F288" s="72"/>
      <c r="G288" s="36"/>
      <c r="H288" s="36"/>
      <c r="I288" s="54"/>
      <c r="J288" s="18"/>
    </row>
    <row r="289" spans="2:10" ht="64.5" thickBot="1">
      <c r="B289" s="229" t="s">
        <v>153</v>
      </c>
      <c r="C289" s="230" t="s">
        <v>0</v>
      </c>
      <c r="D289" s="231">
        <v>1</v>
      </c>
      <c r="E289" s="232" t="str">
        <f>DEC2HEX(((D289)*2^31),8)</f>
        <v>80000000</v>
      </c>
      <c r="F289" s="233" t="s">
        <v>66</v>
      </c>
      <c r="G289" s="232" t="s">
        <v>56</v>
      </c>
      <c r="H289" s="232" t="str">
        <f>"0x"&amp;DEC2HEX((HEX2DEC(C33)+424), 8)</f>
        <v>0x3D4001A8</v>
      </c>
      <c r="I289" s="234" t="str">
        <f>"0x"&amp;DEC2HEX((HEX2DEC(E289)), 8)</f>
        <v>0x80000000</v>
      </c>
      <c r="J289" s="271"/>
    </row>
    <row r="290" spans="2:10" ht="13.5" thickBot="1">
      <c r="B290" s="76"/>
      <c r="C290" s="76"/>
      <c r="D290" s="77"/>
      <c r="E290" s="105"/>
      <c r="F290" s="203"/>
      <c r="G290" s="204"/>
      <c r="H290" s="204"/>
      <c r="I290" s="204"/>
      <c r="J290" s="18"/>
    </row>
    <row r="291" spans="2:10" ht="51.75" thickBot="1">
      <c r="B291" s="229" t="s">
        <v>278</v>
      </c>
      <c r="C291" s="258" t="s">
        <v>0</v>
      </c>
      <c r="D291" s="231">
        <v>0</v>
      </c>
      <c r="E291" s="232" t="str">
        <f>DEC2HEX(((D291)*2^0),8)</f>
        <v>00000000</v>
      </c>
      <c r="F291" s="233" t="s">
        <v>279</v>
      </c>
      <c r="G291" s="259" t="s">
        <v>277</v>
      </c>
      <c r="H291" s="260" t="str">
        <f>"0x"&amp;DEC2HEX((HEX2DEC(C33)+452), 8)</f>
        <v>0x3D4001C4</v>
      </c>
      <c r="I291" s="261" t="str">
        <f>"0x"&amp;DEC2HEX((HEX2DEC(E291)), 8)</f>
        <v>0x00000000</v>
      </c>
      <c r="J291" s="18"/>
    </row>
    <row r="292" spans="2:10" ht="13.5" thickBot="1">
      <c r="B292" s="76"/>
      <c r="C292" s="96"/>
      <c r="D292" s="77"/>
      <c r="E292" s="105"/>
      <c r="F292" s="203"/>
      <c r="G292" s="262"/>
      <c r="H292" s="204"/>
      <c r="I292" s="204"/>
      <c r="J292" s="18"/>
    </row>
    <row r="293" spans="2:10" ht="15.75" thickBot="1">
      <c r="B293" s="383" t="s">
        <v>361</v>
      </c>
      <c r="C293" s="384"/>
      <c r="D293" s="384"/>
      <c r="E293" s="384"/>
      <c r="F293" s="384"/>
      <c r="G293" s="384"/>
      <c r="H293" s="384"/>
      <c r="I293" s="385"/>
    </row>
    <row r="295" spans="2:10" ht="15">
      <c r="B295" s="266" t="s">
        <v>685</v>
      </c>
      <c r="C295" s="200" t="str">
        <f>"0x"&amp;DEC2HEX((HEX2DEC(E224)+HEX2DEC(E223)+HEX2DEC(E222)+HEX2DEC(E221)+HEX2DEC(E220)+HEX2DEC(E219)+HEX2DEC(E218)+HEX2DEC(E217)+HEX2DEC(E216))/65536,4)</f>
        <v>0x1C70</v>
      </c>
      <c r="D295" s="386" t="s">
        <v>364</v>
      </c>
      <c r="E295" s="386"/>
      <c r="F295" s="386"/>
      <c r="G295" s="386"/>
      <c r="H295" s="386"/>
      <c r="I295" s="386"/>
    </row>
    <row r="296" spans="2:10" ht="15">
      <c r="B296" s="266" t="s">
        <v>686</v>
      </c>
      <c r="C296" s="200" t="str">
        <f>"0x"&amp;DEC2HEX((HEX2DEC(E227)+HEX2DEC(E228)+HEX2DEC(E229)+HEX2DEC(E230)+HEX2DEC(E231)+HEX2DEC(E232)+HEX2DEC(E233)+HEX2DEC(E234)),4)</f>
        <v>0x0004</v>
      </c>
      <c r="D296" s="386" t="s">
        <v>364</v>
      </c>
      <c r="E296" s="386"/>
      <c r="F296" s="386"/>
      <c r="G296" s="386"/>
      <c r="H296" s="386"/>
      <c r="I296" s="386"/>
    </row>
    <row r="297" spans="2:10" ht="15">
      <c r="B297" s="266" t="s">
        <v>687</v>
      </c>
      <c r="C297" s="200" t="str">
        <f>"0x"&amp;DEC2HEX((HEX2DEC(E243)+HEX2DEC(E242)+HEX2DEC(E241)+HEX2DEC(E240)+HEX2DEC(E239)+HEX2DEC(E238))/65536,4)</f>
        <v>0x0018</v>
      </c>
      <c r="D297" s="386" t="s">
        <v>365</v>
      </c>
      <c r="E297" s="386"/>
      <c r="F297" s="386"/>
      <c r="G297" s="386"/>
      <c r="H297" s="386"/>
      <c r="I297" s="386"/>
    </row>
    <row r="299" spans="2:10">
      <c r="B299" s="266" t="s">
        <v>352</v>
      </c>
      <c r="C299" s="269">
        <f>G17</f>
        <v>40</v>
      </c>
      <c r="D299" s="386" t="s">
        <v>369</v>
      </c>
      <c r="E299" s="392"/>
      <c r="F299" s="392"/>
      <c r="G299" s="392"/>
      <c r="H299" s="392"/>
      <c r="I299" s="392"/>
    </row>
    <row r="300" spans="2:10">
      <c r="B300" s="266" t="s">
        <v>353</v>
      </c>
      <c r="C300" s="269">
        <f>G19</f>
        <v>60</v>
      </c>
      <c r="D300" s="378" t="s">
        <v>367</v>
      </c>
      <c r="E300" s="379"/>
      <c r="F300" s="379"/>
      <c r="G300" s="379"/>
      <c r="H300" s="379"/>
      <c r="I300" s="379"/>
    </row>
    <row r="301" spans="2:10">
      <c r="B301" s="266" t="s">
        <v>668</v>
      </c>
      <c r="C301" s="269">
        <f>G21</f>
        <v>40</v>
      </c>
      <c r="D301" s="386" t="s">
        <v>368</v>
      </c>
      <c r="E301" s="392"/>
      <c r="F301" s="392"/>
      <c r="G301" s="392"/>
      <c r="H301" s="392"/>
      <c r="I301" s="392"/>
    </row>
    <row r="302" spans="2:10">
      <c r="C302" s="267"/>
    </row>
    <row r="303" spans="2:10">
      <c r="B303" s="266" t="s">
        <v>370</v>
      </c>
      <c r="C303" s="270" t="s">
        <v>351</v>
      </c>
      <c r="D303" s="378" t="s">
        <v>371</v>
      </c>
      <c r="E303" s="379"/>
      <c r="F303" s="379"/>
      <c r="G303" s="379"/>
      <c r="H303" s="379"/>
      <c r="I303" s="379"/>
    </row>
    <row r="304" spans="2:10">
      <c r="B304" s="266" t="s">
        <v>354</v>
      </c>
      <c r="C304" s="269" t="s">
        <v>351</v>
      </c>
      <c r="D304" s="378" t="s">
        <v>366</v>
      </c>
      <c r="E304" s="379"/>
      <c r="F304" s="379"/>
      <c r="G304" s="379"/>
      <c r="H304" s="379"/>
      <c r="I304" s="379"/>
    </row>
    <row r="305" spans="2:9">
      <c r="B305" s="268"/>
      <c r="C305" s="267"/>
    </row>
    <row r="306" spans="2:9">
      <c r="B306" s="266" t="s">
        <v>671</v>
      </c>
      <c r="C306" s="266" t="s">
        <v>359</v>
      </c>
      <c r="D306" s="386" t="s">
        <v>375</v>
      </c>
      <c r="E306" s="392"/>
      <c r="F306" s="392"/>
      <c r="G306" s="392"/>
      <c r="H306" s="392"/>
      <c r="I306" s="392"/>
    </row>
    <row r="307" spans="2:9">
      <c r="B307" s="266" t="s">
        <v>355</v>
      </c>
      <c r="C307" s="266" t="s">
        <v>359</v>
      </c>
      <c r="D307" s="386" t="s">
        <v>376</v>
      </c>
      <c r="E307" s="392"/>
      <c r="F307" s="392"/>
      <c r="G307" s="392"/>
      <c r="H307" s="392"/>
      <c r="I307" s="392"/>
    </row>
    <row r="308" spans="2:9">
      <c r="B308" s="266" t="s">
        <v>356</v>
      </c>
      <c r="C308" s="266" t="s">
        <v>359</v>
      </c>
      <c r="D308" s="386" t="s">
        <v>377</v>
      </c>
      <c r="E308" s="392"/>
      <c r="F308" s="392"/>
      <c r="G308" s="392"/>
      <c r="H308" s="392"/>
      <c r="I308" s="392"/>
    </row>
    <row r="309" spans="2:9">
      <c r="B309" s="266" t="s">
        <v>357</v>
      </c>
      <c r="C309" s="266" t="s">
        <v>359</v>
      </c>
      <c r="D309" s="386" t="s">
        <v>378</v>
      </c>
      <c r="E309" s="392"/>
      <c r="F309" s="392"/>
      <c r="G309" s="392"/>
      <c r="H309" s="392"/>
      <c r="I309" s="392"/>
    </row>
    <row r="311" spans="2:9">
      <c r="B311" s="266" t="s">
        <v>358</v>
      </c>
      <c r="C311" s="266" t="s">
        <v>360</v>
      </c>
      <c r="D311" s="386" t="s">
        <v>373</v>
      </c>
      <c r="E311" s="392"/>
      <c r="F311" s="392"/>
      <c r="G311" s="392"/>
      <c r="H311" s="392"/>
      <c r="I311" s="392"/>
    </row>
    <row r="312" spans="2:9">
      <c r="B312" s="266" t="s">
        <v>372</v>
      </c>
      <c r="C312" s="266" t="s">
        <v>351</v>
      </c>
      <c r="D312" s="378" t="s">
        <v>374</v>
      </c>
      <c r="E312" s="379"/>
      <c r="F312" s="379"/>
      <c r="G312" s="379"/>
      <c r="H312" s="379"/>
      <c r="I312" s="379"/>
    </row>
    <row r="314" spans="2:9">
      <c r="B314" s="266" t="s">
        <v>473</v>
      </c>
      <c r="C314" s="269" t="s">
        <v>692</v>
      </c>
      <c r="D314" s="378" t="s">
        <v>480</v>
      </c>
      <c r="E314" s="379"/>
      <c r="F314" s="379"/>
      <c r="G314" s="379"/>
      <c r="H314" s="379"/>
      <c r="I314" s="379"/>
    </row>
    <row r="316" spans="2:9" ht="15">
      <c r="B316" s="266" t="s">
        <v>482</v>
      </c>
      <c r="C316" s="285" t="str">
        <f>IF(C23=2, "0x3", "0x1")</f>
        <v>0x3</v>
      </c>
      <c r="D316" s="378" t="s">
        <v>483</v>
      </c>
      <c r="E316" s="379"/>
      <c r="F316" s="379"/>
      <c r="G316" s="379"/>
      <c r="H316" s="379"/>
      <c r="I316" s="379"/>
    </row>
  </sheetData>
  <mergeCells count="196">
    <mergeCell ref="H118:H121"/>
    <mergeCell ref="G127:G129"/>
    <mergeCell ref="G73:G76"/>
    <mergeCell ref="H73:H76"/>
    <mergeCell ref="I73:I76"/>
    <mergeCell ref="I83:I84"/>
    <mergeCell ref="H83:H84"/>
    <mergeCell ref="G86:G89"/>
    <mergeCell ref="I91:I95"/>
    <mergeCell ref="G78:G81"/>
    <mergeCell ref="H78:H81"/>
    <mergeCell ref="I78:I81"/>
    <mergeCell ref="G91:G95"/>
    <mergeCell ref="H162:H165"/>
    <mergeCell ref="I162:I165"/>
    <mergeCell ref="G138:G140"/>
    <mergeCell ref="H158:H160"/>
    <mergeCell ref="I158:I160"/>
    <mergeCell ref="G172:G175"/>
    <mergeCell ref="H172:H175"/>
    <mergeCell ref="I172:I175"/>
    <mergeCell ref="B184:I184"/>
    <mergeCell ref="H167:H170"/>
    <mergeCell ref="I177:I182"/>
    <mergeCell ref="H177:H182"/>
    <mergeCell ref="G177:G182"/>
    <mergeCell ref="G188:G191"/>
    <mergeCell ref="H188:H191"/>
    <mergeCell ref="I188:I191"/>
    <mergeCell ref="I185:I186"/>
    <mergeCell ref="H185:H186"/>
    <mergeCell ref="D308:I308"/>
    <mergeCell ref="D307:I307"/>
    <mergeCell ref="D309:I309"/>
    <mergeCell ref="D303:I303"/>
    <mergeCell ref="D296:I296"/>
    <mergeCell ref="D295:I295"/>
    <mergeCell ref="F227:F229"/>
    <mergeCell ref="F231:F232"/>
    <mergeCell ref="G264:G270"/>
    <mergeCell ref="H264:H270"/>
    <mergeCell ref="I264:I270"/>
    <mergeCell ref="H275:H278"/>
    <mergeCell ref="I275:I278"/>
    <mergeCell ref="B248:I248"/>
    <mergeCell ref="G258:G262"/>
    <mergeCell ref="H258:H262"/>
    <mergeCell ref="I258:I262"/>
    <mergeCell ref="G245:G246"/>
    <mergeCell ref="H245:H246"/>
    <mergeCell ref="I245:I246"/>
    <mergeCell ref="H251:H256"/>
    <mergeCell ref="I251:I256"/>
    <mergeCell ref="D299:I299"/>
    <mergeCell ref="D300:I300"/>
    <mergeCell ref="D301:I301"/>
    <mergeCell ref="D304:I304"/>
    <mergeCell ref="D306:I306"/>
    <mergeCell ref="B211:I211"/>
    <mergeCell ref="I196:I199"/>
    <mergeCell ref="B195:I195"/>
    <mergeCell ref="F220:F223"/>
    <mergeCell ref="J118:J121"/>
    <mergeCell ref="G216:G234"/>
    <mergeCell ref="H216:H234"/>
    <mergeCell ref="I216:I234"/>
    <mergeCell ref="G238:G243"/>
    <mergeCell ref="H238:H243"/>
    <mergeCell ref="I238:I243"/>
    <mergeCell ref="I147:I149"/>
    <mergeCell ref="G162:G165"/>
    <mergeCell ref="G147:G149"/>
    <mergeCell ref="H127:H129"/>
    <mergeCell ref="I127:I129"/>
    <mergeCell ref="H138:H140"/>
    <mergeCell ref="J196:J199"/>
    <mergeCell ref="G134:G135"/>
    <mergeCell ref="H134:H135"/>
    <mergeCell ref="J129:K129"/>
    <mergeCell ref="I131:I132"/>
    <mergeCell ref="H153:H156"/>
    <mergeCell ref="H123:H124"/>
    <mergeCell ref="G118:G121"/>
    <mergeCell ref="I118:I121"/>
    <mergeCell ref="I167:I170"/>
    <mergeCell ref="F7:F8"/>
    <mergeCell ref="F13:F14"/>
    <mergeCell ref="K16:L17"/>
    <mergeCell ref="K18:L18"/>
    <mergeCell ref="I138:I140"/>
    <mergeCell ref="G153:G156"/>
    <mergeCell ref="G158:G160"/>
    <mergeCell ref="G123:G124"/>
    <mergeCell ref="B137:I137"/>
    <mergeCell ref="G131:G132"/>
    <mergeCell ref="G97:G100"/>
    <mergeCell ref="H97:H100"/>
    <mergeCell ref="I97:I100"/>
    <mergeCell ref="G102:G105"/>
    <mergeCell ref="H102:H105"/>
    <mergeCell ref="I102:I105"/>
    <mergeCell ref="G107:G109"/>
    <mergeCell ref="C21:D21"/>
    <mergeCell ref="C24:D24"/>
    <mergeCell ref="C33:D33"/>
    <mergeCell ref="I66:I67"/>
    <mergeCell ref="G66:G67"/>
    <mergeCell ref="H66:H67"/>
    <mergeCell ref="F9:F10"/>
    <mergeCell ref="G7:G8"/>
    <mergeCell ref="G9:G10"/>
    <mergeCell ref="G13:G14"/>
    <mergeCell ref="B7:E14"/>
    <mergeCell ref="C19:D19"/>
    <mergeCell ref="C17:D17"/>
    <mergeCell ref="C18:D18"/>
    <mergeCell ref="C26:D26"/>
    <mergeCell ref="F16:G16"/>
    <mergeCell ref="F18:G18"/>
    <mergeCell ref="F20:G20"/>
    <mergeCell ref="F22:G22"/>
    <mergeCell ref="F24:I27"/>
    <mergeCell ref="B35:D35"/>
    <mergeCell ref="F30:F31"/>
    <mergeCell ref="C4:F4"/>
    <mergeCell ref="G4:J4"/>
    <mergeCell ref="B126:I126"/>
    <mergeCell ref="I142:I145"/>
    <mergeCell ref="B65:I65"/>
    <mergeCell ref="I123:I124"/>
    <mergeCell ref="I153:I156"/>
    <mergeCell ref="H86:H89"/>
    <mergeCell ref="I86:I89"/>
    <mergeCell ref="H91:H95"/>
    <mergeCell ref="G41:G53"/>
    <mergeCell ref="H41:H53"/>
    <mergeCell ref="I41:I53"/>
    <mergeCell ref="G142:G145"/>
    <mergeCell ref="H147:H149"/>
    <mergeCell ref="G83:G84"/>
    <mergeCell ref="B5:J5"/>
    <mergeCell ref="C31:D31"/>
    <mergeCell ref="C22:D22"/>
    <mergeCell ref="C20:D20"/>
    <mergeCell ref="C23:D23"/>
    <mergeCell ref="C32:D32"/>
    <mergeCell ref="C27:D27"/>
    <mergeCell ref="C29:D29"/>
    <mergeCell ref="D314:I314"/>
    <mergeCell ref="D316:I316"/>
    <mergeCell ref="J131:K131"/>
    <mergeCell ref="K276:K278"/>
    <mergeCell ref="G275:G278"/>
    <mergeCell ref="B293:I293"/>
    <mergeCell ref="D297:I297"/>
    <mergeCell ref="J276:J278"/>
    <mergeCell ref="B213:D213"/>
    <mergeCell ref="G272:G273"/>
    <mergeCell ref="H272:H273"/>
    <mergeCell ref="I272:I273"/>
    <mergeCell ref="H286:H287"/>
    <mergeCell ref="I286:I287"/>
    <mergeCell ref="G280:G284"/>
    <mergeCell ref="G286:G287"/>
    <mergeCell ref="H280:H284"/>
    <mergeCell ref="I280:I284"/>
    <mergeCell ref="G251:G256"/>
    <mergeCell ref="H131:H132"/>
    <mergeCell ref="H142:H145"/>
    <mergeCell ref="D311:I311"/>
    <mergeCell ref="D312:I312"/>
    <mergeCell ref="G201:G209"/>
    <mergeCell ref="H201:H209"/>
    <mergeCell ref="I201:I209"/>
    <mergeCell ref="G196:G199"/>
    <mergeCell ref="H196:H199"/>
    <mergeCell ref="G69:G71"/>
    <mergeCell ref="I69:I71"/>
    <mergeCell ref="B37:D37"/>
    <mergeCell ref="C25:D25"/>
    <mergeCell ref="C34:D34"/>
    <mergeCell ref="B36:D36"/>
    <mergeCell ref="H69:H71"/>
    <mergeCell ref="C30:D30"/>
    <mergeCell ref="C28:D28"/>
    <mergeCell ref="G55:G63"/>
    <mergeCell ref="H55:H63"/>
    <mergeCell ref="I55:I63"/>
    <mergeCell ref="I134:I135"/>
    <mergeCell ref="G185:G186"/>
    <mergeCell ref="H107:H109"/>
    <mergeCell ref="I107:I109"/>
    <mergeCell ref="G111:G114"/>
    <mergeCell ref="H111:H114"/>
    <mergeCell ref="I111:I114"/>
    <mergeCell ref="G167:G170"/>
  </mergeCells>
  <phoneticPr fontId="1" type="noConversion"/>
  <dataValidations xWindow="430" yWindow="654" count="14">
    <dataValidation allowBlank="1" showInputMessage="1" showErrorMessage="1" promptTitle="DDR type selection" sqref="C17:D17" xr:uid="{00000000-0002-0000-0200-000000000000}"/>
    <dataValidation type="list" allowBlank="1" showInputMessage="1" showErrorMessage="1" promptTitle="Bus width select" prompt="Select the desired bus width, 32-bit or 16-bit" sqref="C30:D30" xr:uid="{00000000-0002-0000-0200-000001000000}">
      <formula1>BusWidth</formula1>
    </dataValidation>
    <dataValidation type="list" allowBlank="1" showInputMessage="1" showErrorMessage="1" promptTitle="Number of frequency setpoints" sqref="G29" xr:uid="{00000000-0002-0000-0200-000002000000}">
      <formula1>$AF$4:$AF$6</formula1>
    </dataValidation>
    <dataValidation type="list" allowBlank="1" showInputMessage="1" showErrorMessage="1" promptTitle="Enable/disable 2D training" sqref="H29" xr:uid="{00000000-0002-0000-0200-000003000000}">
      <formula1>RowBankInterleavingOption</formula1>
    </dataValidation>
    <dataValidation type="list" allowBlank="1" showInputMessage="1" showErrorMessage="1" sqref="C20:D20" xr:uid="{00000000-0002-0000-0200-000004000000}">
      <formula1>"1,2,4,8"</formula1>
    </dataValidation>
    <dataValidation type="list" allowBlank="1" showInputMessage="1" showErrorMessage="1" promptTitle="DQ/DQS Drive impedance" prompt="Please select the desired drive strength impedance" sqref="G21" xr:uid="{00000000-0002-0000-0200-000005000000}">
      <formula1>"240, 120, 80, 60, 48, 40, 34"</formula1>
    </dataValidation>
    <dataValidation type="list" allowBlank="1" showInputMessage="1" showErrorMessage="1" promptTitle="ODT impedance" prompt="Please select the desired ODT impedance" sqref="G19" xr:uid="{00000000-0002-0000-0200-000006000000}">
      <formula1>"high-impedance, 120, 60, 40"</formula1>
    </dataValidation>
    <dataValidation type="list" allowBlank="1" showInputMessage="1" showErrorMessage="1" promptTitle="Address/command bus impedance" prompt="Please select the desired drive strength impedance" sqref="G17" xr:uid="{00000000-0002-0000-0200-000007000000}">
      <formula1>"120,60,40,30,24,20"</formula1>
    </dataValidation>
    <dataValidation type="list" allowBlank="1" showInputMessage="1" showErrorMessage="1" sqref="G23" xr:uid="{00000000-0002-0000-0200-000008000000}">
      <formula1>$AA$9:$AA$10</formula1>
    </dataValidation>
    <dataValidation type="list" allowBlank="1" showInputMessage="1" showErrorMessage="1" sqref="K18" xr:uid="{38C41A38-1A19-4593-8A1E-181238C94DAC}">
      <formula1>"yes, no"</formula1>
    </dataValidation>
    <dataValidation type="list" allowBlank="1" showInputMessage="1" showErrorMessage="1" sqref="F32" xr:uid="{E658550E-09A5-4099-AFCA-D568A90E3D21}">
      <formula1>"1, 2, 3, 4"</formula1>
    </dataValidation>
    <dataValidation type="list" allowBlank="1" showInputMessage="1" showErrorMessage="1" sqref="C26:D26" xr:uid="{A0E92D75-8A02-4697-80E8-D27D04CDF93F}">
      <formula1>"12,13,14,15,16"</formula1>
    </dataValidation>
    <dataValidation type="list" allowBlank="1" showInputMessage="1" showErrorMessage="1" sqref="C27:D27" xr:uid="{4D327FF8-8914-4496-8D02-D535983E7242}">
      <formula1>"10,11"</formula1>
    </dataValidation>
    <dataValidation type="list" allowBlank="1" showInputMessage="1" showErrorMessage="1" sqref="C28:D28" xr:uid="{7F507DDB-7C0F-4529-B21E-DB9602E7CAEE}">
      <formula1>"3"</formula1>
    </dataValidation>
  </dataValidations>
  <pageMargins left="0.75" right="0.75" top="1" bottom="1" header="0.5" footer="0.5"/>
  <pageSetup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9"/>
  <sheetViews>
    <sheetView topLeftCell="A4" zoomScaleNormal="100" workbookViewId="0">
      <selection activeCell="A41" sqref="A41"/>
    </sheetView>
  </sheetViews>
  <sheetFormatPr defaultColWidth="9.140625" defaultRowHeight="13.5"/>
  <cols>
    <col min="1" max="1" width="16.5703125" style="293" customWidth="1"/>
    <col min="2" max="2" width="14.140625" style="294" customWidth="1"/>
    <col min="3" max="3" width="6" style="293" customWidth="1"/>
    <col min="4" max="4" width="13.140625" style="294" customWidth="1"/>
    <col min="5" max="5" width="98.140625" style="293" customWidth="1"/>
    <col min="6" max="16384" width="9.140625" style="235"/>
  </cols>
  <sheetData>
    <row r="1" spans="1:5">
      <c r="A1" s="293" t="str">
        <f>"#  Version "&amp;'Revision History'!B3</f>
        <v>#  Version 9</v>
      </c>
    </row>
    <row r="2" spans="1:5">
      <c r="A2" s="293" t="s">
        <v>296</v>
      </c>
    </row>
    <row r="3" spans="1:5">
      <c r="A3" s="293" t="s">
        <v>297</v>
      </c>
    </row>
    <row r="4" spans="1:5">
      <c r="A4" s="293" t="s">
        <v>298</v>
      </c>
    </row>
    <row r="5" spans="1:5">
      <c r="A5" s="293" t="s">
        <v>299</v>
      </c>
    </row>
    <row r="6" spans="1:5">
      <c r="A6" s="293" t="s">
        <v>300</v>
      </c>
    </row>
    <row r="7" spans="1:5">
      <c r="A7" s="293" t="s">
        <v>295</v>
      </c>
    </row>
    <row r="8" spans="1:5">
      <c r="A8" s="293" t="s">
        <v>301</v>
      </c>
    </row>
    <row r="9" spans="1:5">
      <c r="A9" s="293" t="s">
        <v>302</v>
      </c>
    </row>
    <row r="10" spans="1:5">
      <c r="A10" s="293" t="s">
        <v>303</v>
      </c>
    </row>
    <row r="11" spans="1:5">
      <c r="A11" s="293" t="s">
        <v>304</v>
      </c>
    </row>
    <row r="12" spans="1:5">
      <c r="A12" s="293" t="s">
        <v>305</v>
      </c>
    </row>
    <row r="13" spans="1:5">
      <c r="A13" s="293" t="s">
        <v>306</v>
      </c>
    </row>
    <row r="14" spans="1:5">
      <c r="A14" s="293" t="s">
        <v>307</v>
      </c>
    </row>
    <row r="16" spans="1:5" customFormat="1">
      <c r="A16" s="338" t="s">
        <v>745</v>
      </c>
      <c r="B16" s="339"/>
      <c r="C16" s="338"/>
      <c r="D16" s="339"/>
      <c r="E16" s="338"/>
    </row>
    <row r="17" spans="1:5" customFormat="1">
      <c r="A17" s="338" t="s">
        <v>746</v>
      </c>
      <c r="B17" s="339"/>
      <c r="C17" s="338"/>
      <c r="D17" s="339"/>
      <c r="E17" s="338"/>
    </row>
    <row r="18" spans="1:5" customFormat="1">
      <c r="A18" s="338" t="s">
        <v>747</v>
      </c>
      <c r="B18" s="339"/>
      <c r="C18" s="338"/>
      <c r="D18" s="339"/>
      <c r="E18" s="338"/>
    </row>
    <row r="19" spans="1:5" customFormat="1">
      <c r="A19" s="338" t="s">
        <v>284</v>
      </c>
      <c r="B19" s="340" t="str">
        <f>"0x30330"&amp;IF('Register Configuration'!F32=1, "234", IF('Register Configuration'!F32=2, "23C", IF('Register Configuration'!F32=3, "244", "24C")))</f>
        <v>0x30330234</v>
      </c>
      <c r="C19" s="341">
        <v>32</v>
      </c>
      <c r="D19" s="339" t="s">
        <v>748</v>
      </c>
      <c r="E19" s="338" t="str">
        <f>"#IOMUXC_SW_MUX_UART"&amp;('Register Configuration'!F32)&amp;"_RXD"</f>
        <v>#IOMUXC_SW_MUX_UART1_RXD</v>
      </c>
    </row>
    <row r="20" spans="1:5" customFormat="1">
      <c r="A20" s="338" t="s">
        <v>284</v>
      </c>
      <c r="B20" s="340" t="str">
        <f>"0x30330"&amp;IF('Register Configuration'!F32=1, "238", IF('Register Configuration'!F32=2, "240", IF('Register Configuration'!F32=3, "248", "250")))</f>
        <v>0x30330238</v>
      </c>
      <c r="C20" s="341">
        <v>32</v>
      </c>
      <c r="D20" s="339" t="s">
        <v>254</v>
      </c>
      <c r="E20" s="338" t="str">
        <f>"#IOMUXC_SW_MUX_UART"&amp;('Register Configuration'!F32)&amp;"_TXD"</f>
        <v>#IOMUXC_SW_MUX_UART1_TXD</v>
      </c>
    </row>
    <row r="21" spans="1:5" customFormat="1">
      <c r="A21" s="338" t="s">
        <v>284</v>
      </c>
      <c r="B21" s="340" t="str">
        <f>"0x30330"&amp;IF('Register Configuration'!F32=1, "49C", IF('Register Configuration'!F32=2, "4A4", IF('Register Configuration'!F32=3, "4AC", "4B4")))</f>
        <v>0x3033049C</v>
      </c>
      <c r="C21" s="341">
        <v>32</v>
      </c>
      <c r="D21" s="339" t="s">
        <v>749</v>
      </c>
      <c r="E21" s="338" t="str">
        <f>"#IOMUXC_SW_PAD_UART"&amp;('Register Configuration'!F32)&amp;"_RXD"</f>
        <v>#IOMUXC_SW_PAD_UART1_RXD</v>
      </c>
    </row>
    <row r="22" spans="1:5" customFormat="1">
      <c r="A22" s="338" t="s">
        <v>284</v>
      </c>
      <c r="B22" s="340" t="str">
        <f>"0x30330"&amp;IF('Register Configuration'!F32=1, "4A0", IF('Register Configuration'!F32=2, "4A8", IF('Register Configuration'!F32=3, "4B0", "4B8")))</f>
        <v>0x303304A0</v>
      </c>
      <c r="C22" s="341">
        <v>32</v>
      </c>
      <c r="D22" s="339" t="s">
        <v>749</v>
      </c>
      <c r="E22" s="338" t="str">
        <f>"#IOMUXC_SW_PAD_UART"&amp;('Register Configuration'!F32)&amp;"_TXD"</f>
        <v>#IOMUXC_SW_PAD_UART1_TXD</v>
      </c>
    </row>
    <row r="23" spans="1:5" customFormat="1">
      <c r="A23" s="338" t="s">
        <v>284</v>
      </c>
      <c r="B23" s="340" t="str">
        <f>"0x30330"&amp;IF('Register Configuration'!F32=1, "4F4", IF('Register Configuration'!F32=2, "4FC", IF('Register Configuration'!F32=3, "504", "50C")))</f>
        <v>0x303304F4</v>
      </c>
      <c r="C23" s="341">
        <v>32</v>
      </c>
      <c r="D23" s="340" t="str">
        <f>IF(OR('Register Configuration'!F32=3, 'Register Configuration'!F32=4), "0x00000002", "0x00000000")</f>
        <v>0x00000000</v>
      </c>
      <c r="E23" s="338" t="str">
        <f>"#IOMUXC_SW_MUX_UART"&amp;('Register Configuration'!F32)&amp;"_SEL_RXD"</f>
        <v>#IOMUXC_SW_MUX_UART1_SEL_RXD</v>
      </c>
    </row>
    <row r="24" spans="1:5" customFormat="1">
      <c r="A24" s="338" t="s">
        <v>750</v>
      </c>
      <c r="B24" s="342" t="s">
        <v>751</v>
      </c>
      <c r="C24" s="341"/>
      <c r="D24" s="340">
        <f>'Register Configuration'!F32 - 1</f>
        <v>0</v>
      </c>
      <c r="E24" s="338" t="s">
        <v>752</v>
      </c>
    </row>
    <row r="25" spans="1:5" customFormat="1">
      <c r="A25" s="338"/>
      <c r="B25" s="339"/>
      <c r="C25" s="338"/>
      <c r="D25" s="339"/>
      <c r="E25" s="338"/>
    </row>
    <row r="26" spans="1:5">
      <c r="A26" s="293" t="s">
        <v>308</v>
      </c>
    </row>
    <row r="27" spans="1:5">
      <c r="A27" s="293" t="s">
        <v>309</v>
      </c>
    </row>
    <row r="28" spans="1:5">
      <c r="A28" s="293" t="s">
        <v>284</v>
      </c>
      <c r="B28" s="294" t="s">
        <v>315</v>
      </c>
      <c r="C28" s="295">
        <v>32</v>
      </c>
      <c r="D28" s="294" t="s">
        <v>316</v>
      </c>
      <c r="E28" s="293" t="s">
        <v>317</v>
      </c>
    </row>
    <row r="29" spans="1:5">
      <c r="A29" s="293" t="s">
        <v>284</v>
      </c>
      <c r="B29" s="294" t="s">
        <v>318</v>
      </c>
      <c r="C29" s="295">
        <v>32</v>
      </c>
      <c r="D29" s="294" t="s">
        <v>319</v>
      </c>
      <c r="E29" s="293" t="s">
        <v>320</v>
      </c>
    </row>
    <row r="30" spans="1:5">
      <c r="C30" s="295"/>
    </row>
    <row r="31" spans="1:5">
      <c r="A31" s="293" t="s">
        <v>310</v>
      </c>
      <c r="C31" s="295"/>
    </row>
    <row r="32" spans="1:5">
      <c r="A32" s="293" t="s">
        <v>284</v>
      </c>
      <c r="B32" s="294" t="s">
        <v>323</v>
      </c>
      <c r="C32" s="295">
        <v>32</v>
      </c>
      <c r="D32" s="294" t="s">
        <v>321</v>
      </c>
      <c r="E32" s="293" t="s">
        <v>322</v>
      </c>
    </row>
    <row r="33" spans="1:5">
      <c r="A33" s="293" t="s">
        <v>311</v>
      </c>
      <c r="B33" s="294" t="s">
        <v>324</v>
      </c>
      <c r="C33" s="295">
        <v>32</v>
      </c>
      <c r="D33" s="294" t="s">
        <v>325</v>
      </c>
      <c r="E33" s="293" t="s">
        <v>326</v>
      </c>
    </row>
    <row r="34" spans="1:5">
      <c r="C34" s="295"/>
    </row>
    <row r="35" spans="1:5">
      <c r="A35" s="293" t="s">
        <v>284</v>
      </c>
      <c r="B35" s="294" t="s">
        <v>291</v>
      </c>
      <c r="C35" s="295">
        <v>32</v>
      </c>
      <c r="D35" s="294" t="s">
        <v>327</v>
      </c>
      <c r="E35" s="293" t="s">
        <v>328</v>
      </c>
    </row>
    <row r="36" spans="1:5">
      <c r="A36" s="293" t="s">
        <v>284</v>
      </c>
      <c r="B36" s="294" t="s">
        <v>330</v>
      </c>
      <c r="C36" s="295">
        <v>32</v>
      </c>
      <c r="D36" s="294" t="s">
        <v>327</v>
      </c>
      <c r="E36" s="293" t="s">
        <v>329</v>
      </c>
    </row>
    <row r="37" spans="1:5">
      <c r="C37" s="295"/>
    </row>
    <row r="38" spans="1:5">
      <c r="A38" s="293" t="s">
        <v>312</v>
      </c>
      <c r="C38" s="295"/>
    </row>
    <row r="39" spans="1:5">
      <c r="A39" s="293" t="s">
        <v>736</v>
      </c>
      <c r="C39" s="295"/>
    </row>
    <row r="40" spans="1:5">
      <c r="A40" s="293" t="s">
        <v>735</v>
      </c>
      <c r="C40" s="295"/>
    </row>
    <row r="41" spans="1:5">
      <c r="A41" s="293" t="s">
        <v>761</v>
      </c>
      <c r="C41" s="295"/>
    </row>
    <row r="42" spans="1:5">
      <c r="A42" s="293" t="s">
        <v>284</v>
      </c>
      <c r="B42" s="294" t="s">
        <v>331</v>
      </c>
      <c r="C42" s="295">
        <v>32</v>
      </c>
      <c r="D42" s="296" t="str">
        <f>IF('Register Configuration'!C31 = 800, "0x00bbe582",  "TBD")</f>
        <v>0x00bbe582</v>
      </c>
      <c r="E42" s="293" t="str">
        <f>"#HW_DRAM_PLL_CFG2_ADDR: For " &amp; 'Register Configuration'!C31 &amp; "MHz DDR speed, Configure DRAM PLL for " &amp; ('Register Configuration'!C31)/2 &amp; "MHz operation"</f>
        <v>#HW_DRAM_PLL_CFG2_ADDR: For 800MHz DDR speed, Configure DRAM PLL for 400MHz operation</v>
      </c>
    </row>
    <row r="43" spans="1:5">
      <c r="C43" s="295"/>
    </row>
    <row r="44" spans="1:5">
      <c r="A44" s="293" t="s">
        <v>313</v>
      </c>
      <c r="B44" s="294" t="s">
        <v>332</v>
      </c>
      <c r="C44" s="295">
        <v>32</v>
      </c>
      <c r="D44" s="294" t="s">
        <v>333</v>
      </c>
      <c r="E44" s="293" t="s">
        <v>334</v>
      </c>
    </row>
    <row r="45" spans="1:5">
      <c r="A45" s="293" t="s">
        <v>311</v>
      </c>
      <c r="B45" s="294" t="s">
        <v>332</v>
      </c>
      <c r="C45" s="295">
        <v>32</v>
      </c>
      <c r="D45" s="294" t="s">
        <v>264</v>
      </c>
      <c r="E45" s="293" t="s">
        <v>335</v>
      </c>
    </row>
    <row r="46" spans="1:5">
      <c r="A46" s="293" t="s">
        <v>313</v>
      </c>
      <c r="B46" s="294" t="s">
        <v>332</v>
      </c>
      <c r="C46" s="295">
        <v>32</v>
      </c>
      <c r="D46" s="294" t="s">
        <v>325</v>
      </c>
      <c r="E46" s="293" t="s">
        <v>336</v>
      </c>
    </row>
    <row r="47" spans="1:5">
      <c r="A47" s="293" t="s">
        <v>313</v>
      </c>
      <c r="B47" s="294" t="s">
        <v>332</v>
      </c>
      <c r="C47" s="295">
        <v>32</v>
      </c>
      <c r="D47" s="294" t="s">
        <v>340</v>
      </c>
      <c r="E47" s="293" t="s">
        <v>337</v>
      </c>
    </row>
    <row r="48" spans="1:5">
      <c r="C48" s="295"/>
    </row>
    <row r="49" spans="1:5">
      <c r="A49" s="293" t="s">
        <v>314</v>
      </c>
      <c r="B49" s="294" t="s">
        <v>332</v>
      </c>
      <c r="C49" s="295">
        <v>32</v>
      </c>
      <c r="D49" s="294" t="s">
        <v>289</v>
      </c>
      <c r="E49" s="293" t="s">
        <v>338</v>
      </c>
    </row>
    <row r="50" spans="1:5">
      <c r="C50" s="295"/>
    </row>
    <row r="51" spans="1:5">
      <c r="A51" s="293" t="s">
        <v>284</v>
      </c>
      <c r="B51" s="294" t="s">
        <v>291</v>
      </c>
      <c r="C51" s="295">
        <v>32</v>
      </c>
      <c r="D51" s="294" t="s">
        <v>341</v>
      </c>
      <c r="E51" s="293" t="s">
        <v>339</v>
      </c>
    </row>
    <row r="53" spans="1:5">
      <c r="A53" s="293" t="s">
        <v>285</v>
      </c>
    </row>
    <row r="54" spans="1:5">
      <c r="A54" s="293" t="s">
        <v>283</v>
      </c>
      <c r="B54" s="294" t="s">
        <v>286</v>
      </c>
      <c r="C54" s="295">
        <v>32</v>
      </c>
      <c r="D54" s="294" t="s">
        <v>253</v>
      </c>
      <c r="E54" s="293" t="s">
        <v>381</v>
      </c>
    </row>
    <row r="55" spans="1:5">
      <c r="A55" s="293" t="s">
        <v>283</v>
      </c>
      <c r="B55" s="294" t="s">
        <v>287</v>
      </c>
      <c r="C55" s="295">
        <v>32</v>
      </c>
      <c r="D55" s="294" t="s">
        <v>643</v>
      </c>
      <c r="E55" s="293" t="s">
        <v>642</v>
      </c>
    </row>
    <row r="56" spans="1:5">
      <c r="A56" s="293" t="s">
        <v>283</v>
      </c>
      <c r="B56" s="296" t="str">
        <f>'Register Configuration'!H41</f>
        <v>0x3D400000</v>
      </c>
      <c r="C56" s="295">
        <v>32</v>
      </c>
      <c r="D56" s="296" t="str">
        <f>'Register Configuration'!I41</f>
        <v>0xA3040001</v>
      </c>
      <c r="E56" s="293" t="s">
        <v>382</v>
      </c>
    </row>
    <row r="57" spans="1:5">
      <c r="A57" s="293" t="s">
        <v>283</v>
      </c>
      <c r="B57" s="296" t="str">
        <f>'Register Configuration'!H55</f>
        <v>0x3D400010</v>
      </c>
      <c r="C57" s="295">
        <v>32</v>
      </c>
      <c r="D57" s="296" t="str">
        <f>'Register Configuration'!I55</f>
        <v>0x40004030</v>
      </c>
      <c r="E57" s="293" t="s">
        <v>508</v>
      </c>
    </row>
    <row r="58" spans="1:5">
      <c r="A58" s="293" t="s">
        <v>283</v>
      </c>
      <c r="B58" s="296" t="s">
        <v>509</v>
      </c>
      <c r="C58" s="295">
        <v>32</v>
      </c>
      <c r="D58" s="296" t="str">
        <f>'Register Configuration'!I123</f>
        <v>0x00610068</v>
      </c>
      <c r="E58" s="293" t="s">
        <v>644</v>
      </c>
    </row>
    <row r="59" spans="1:5">
      <c r="A59" s="297"/>
      <c r="B59" s="298"/>
      <c r="C59" s="299"/>
      <c r="D59" s="298"/>
      <c r="E59" s="297"/>
    </row>
    <row r="60" spans="1:5">
      <c r="A60" s="293" t="s">
        <v>283</v>
      </c>
      <c r="B60" s="296" t="str">
        <f>'Register Configuration'!H127</f>
        <v>0x3D4000D0</v>
      </c>
      <c r="C60" s="295">
        <v>32</v>
      </c>
      <c r="D60" s="296" t="str">
        <f>'Register Configuration'!I127</f>
        <v>0xC00200C5</v>
      </c>
      <c r="E60" s="293" t="s">
        <v>383</v>
      </c>
    </row>
    <row r="61" spans="1:5">
      <c r="A61" s="293" t="s">
        <v>283</v>
      </c>
      <c r="B61" s="296" t="str">
        <f>'Register Configuration'!H131</f>
        <v>0x3D4000D4</v>
      </c>
      <c r="C61" s="295">
        <v>32</v>
      </c>
      <c r="D61" s="296" t="str">
        <f>'Register Configuration'!I131</f>
        <v>0x0001000B</v>
      </c>
      <c r="E61" s="293" t="s">
        <v>384</v>
      </c>
    </row>
    <row r="62" spans="1:5">
      <c r="A62" s="293" t="s">
        <v>283</v>
      </c>
      <c r="B62" s="296" t="str">
        <f>'Register Configuration'!H216</f>
        <v>0x3D4000DC</v>
      </c>
      <c r="C62" s="295">
        <v>32</v>
      </c>
      <c r="D62" s="296" t="str">
        <f>'Register Configuration'!I216</f>
        <v>0x1C700004</v>
      </c>
      <c r="E62" s="293" t="s">
        <v>694</v>
      </c>
    </row>
    <row r="63" spans="1:5">
      <c r="A63" s="293" t="s">
        <v>283</v>
      </c>
      <c r="B63" s="296" t="str">
        <f>'Register Configuration'!H238</f>
        <v>0x3D4000E0</v>
      </c>
      <c r="C63" s="295">
        <v>32</v>
      </c>
      <c r="D63" s="296" t="str">
        <f>'Register Configuration'!I238</f>
        <v>0x00180000</v>
      </c>
      <c r="E63" s="293" t="s">
        <v>385</v>
      </c>
    </row>
    <row r="64" spans="1:5">
      <c r="A64" s="293" t="s">
        <v>283</v>
      </c>
      <c r="B64" s="296" t="s">
        <v>510</v>
      </c>
      <c r="C64" s="295">
        <v>32</v>
      </c>
      <c r="D64" s="296" t="str">
        <f>'Register Configuration'!I245</f>
        <v>0x00090000</v>
      </c>
      <c r="E64" s="293" t="s">
        <v>676</v>
      </c>
    </row>
    <row r="65" spans="1:5">
      <c r="A65" s="293" t="s">
        <v>283</v>
      </c>
      <c r="B65" s="296" t="s">
        <v>516</v>
      </c>
      <c r="C65" s="295">
        <v>32</v>
      </c>
      <c r="D65" s="296" t="str">
        <f>'Register Configuration'!I134</f>
        <v>0x00000002</v>
      </c>
      <c r="E65" s="293" t="s">
        <v>517</v>
      </c>
    </row>
    <row r="66" spans="1:5">
      <c r="A66" s="293" t="s">
        <v>284</v>
      </c>
      <c r="B66" s="296" t="str">
        <f>'Register Configuration'!H138</f>
        <v>0x3D4000F4</v>
      </c>
      <c r="C66" s="295">
        <v>32</v>
      </c>
      <c r="D66" s="296" t="str">
        <f>'Register Configuration'!I138</f>
        <v>0x00000EE5</v>
      </c>
      <c r="E66" s="293" t="s">
        <v>386</v>
      </c>
    </row>
    <row r="67" spans="1:5">
      <c r="A67" s="297"/>
      <c r="B67" s="298"/>
      <c r="C67" s="299"/>
      <c r="D67" s="298"/>
      <c r="E67" s="297"/>
    </row>
    <row r="68" spans="1:5">
      <c r="A68" s="293" t="s">
        <v>284</v>
      </c>
      <c r="B68" s="296" t="str">
        <f>'Register Configuration'!H142</f>
        <v>0x3D400100</v>
      </c>
      <c r="C68" s="295">
        <v>32</v>
      </c>
      <c r="D68" s="296" t="str">
        <f>'Register Configuration'!I142</f>
        <v>0x0C101B0E</v>
      </c>
      <c r="E68" s="293" t="s">
        <v>677</v>
      </c>
    </row>
    <row r="69" spans="1:5">
      <c r="A69" s="293" t="s">
        <v>284</v>
      </c>
      <c r="B69" s="296" t="str">
        <f>'Register Configuration'!H147</f>
        <v>0x3D400104</v>
      </c>
      <c r="C69" s="295">
        <v>32</v>
      </c>
      <c r="D69" s="296" t="str">
        <f>'Register Configuration'!I147</f>
        <v>0x00030314</v>
      </c>
      <c r="E69" s="293" t="s">
        <v>688</v>
      </c>
    </row>
    <row r="70" spans="1:5">
      <c r="A70" s="293" t="s">
        <v>284</v>
      </c>
      <c r="B70" s="296" t="str">
        <f>'Register Configuration'!H153</f>
        <v>0x3D400108</v>
      </c>
      <c r="C70" s="295">
        <v>32</v>
      </c>
      <c r="D70" s="296" t="str">
        <f>'Register Configuration'!I153</f>
        <v>0x04060509</v>
      </c>
      <c r="E70" s="293" t="s">
        <v>387</v>
      </c>
    </row>
    <row r="71" spans="1:5">
      <c r="A71" s="293" t="s">
        <v>284</v>
      </c>
      <c r="B71" s="296" t="str">
        <f>'Register Configuration'!H158</f>
        <v>0x3D40010C</v>
      </c>
      <c r="C71" s="295">
        <v>32</v>
      </c>
      <c r="D71" s="296" t="str">
        <f>'Register Configuration'!I158</f>
        <v>0x00002006</v>
      </c>
      <c r="E71" s="293" t="s">
        <v>388</v>
      </c>
    </row>
    <row r="72" spans="1:5">
      <c r="A72" s="293" t="s">
        <v>284</v>
      </c>
      <c r="B72" s="296" t="str">
        <f>'Register Configuration'!H162</f>
        <v>0x3D400110</v>
      </c>
      <c r="C72" s="295">
        <v>32</v>
      </c>
      <c r="D72" s="296" t="str">
        <f>'Register Configuration'!I162</f>
        <v>0x06020306</v>
      </c>
      <c r="E72" s="293" t="s">
        <v>389</v>
      </c>
    </row>
    <row r="73" spans="1:5">
      <c r="A73" s="293" t="s">
        <v>284</v>
      </c>
      <c r="B73" s="296" t="str">
        <f>'Register Configuration'!H167</f>
        <v>0x3D400114</v>
      </c>
      <c r="C73" s="295">
        <v>32</v>
      </c>
      <c r="D73" s="296" t="str">
        <f>'Register Configuration'!I167</f>
        <v>0x04040302</v>
      </c>
      <c r="E73" s="293" t="s">
        <v>678</v>
      </c>
    </row>
    <row r="74" spans="1:5">
      <c r="A74" s="293" t="s">
        <v>284</v>
      </c>
      <c r="B74" s="296" t="s">
        <v>523</v>
      </c>
      <c r="C74" s="295">
        <v>32</v>
      </c>
      <c r="D74" s="296" t="str">
        <f>'Register Configuration'!I172</f>
        <v>0x00000909</v>
      </c>
      <c r="E74" s="293" t="s">
        <v>679</v>
      </c>
    </row>
    <row r="75" spans="1:5" s="103" customFormat="1">
      <c r="A75" s="297"/>
      <c r="B75" s="298"/>
      <c r="C75" s="299"/>
      <c r="D75" s="298"/>
      <c r="E75" s="297"/>
    </row>
    <row r="76" spans="1:5">
      <c r="A76" s="293" t="s">
        <v>284</v>
      </c>
      <c r="B76" s="296" t="str">
        <f>'Register Configuration'!H177</f>
        <v>0x3D400180</v>
      </c>
      <c r="C76" s="295">
        <v>32</v>
      </c>
      <c r="D76" s="296" t="str">
        <f>'Register Configuration'!I177</f>
        <v>0x40800020</v>
      </c>
      <c r="E76" s="293" t="s">
        <v>390</v>
      </c>
    </row>
    <row r="77" spans="1:5">
      <c r="A77" s="293" t="s">
        <v>284</v>
      </c>
      <c r="B77" s="296" t="str">
        <f>'Register Configuration'!H185</f>
        <v>0x3D400184</v>
      </c>
      <c r="C77" s="295">
        <v>32</v>
      </c>
      <c r="D77" s="296" t="str">
        <f>'Register Configuration'!I185</f>
        <v>0x0000C350</v>
      </c>
      <c r="E77" s="293" t="s">
        <v>680</v>
      </c>
    </row>
    <row r="78" spans="1:5" s="103" customFormat="1">
      <c r="A78" s="297"/>
      <c r="B78" s="298"/>
      <c r="C78" s="299"/>
      <c r="D78" s="298"/>
      <c r="E78" s="297"/>
    </row>
    <row r="79" spans="1:5">
      <c r="A79" s="293" t="s">
        <v>284</v>
      </c>
      <c r="B79" s="296" t="str">
        <f>'Register Configuration'!H251</f>
        <v>0x3D400190</v>
      </c>
      <c r="C79" s="295">
        <v>32</v>
      </c>
      <c r="D79" s="296" t="str">
        <f>'Register Configuration'!I251</f>
        <v>0x03868203</v>
      </c>
      <c r="E79" s="293" t="s">
        <v>391</v>
      </c>
    </row>
    <row r="80" spans="1:5">
      <c r="A80" s="293" t="s">
        <v>284</v>
      </c>
      <c r="B80" s="296" t="str">
        <f>'Register Configuration'!H258</f>
        <v>0x3D400194</v>
      </c>
      <c r="C80" s="295">
        <v>32</v>
      </c>
      <c r="D80" s="296" t="str">
        <f>'Register Configuration'!I258</f>
        <v>0x00020303</v>
      </c>
      <c r="E80" s="293" t="s">
        <v>392</v>
      </c>
    </row>
    <row r="81" spans="1:7">
      <c r="A81" s="293" t="s">
        <v>284</v>
      </c>
      <c r="B81" s="296" t="str">
        <f>'Register Configuration'!H272</f>
        <v>0x3D4001B4</v>
      </c>
      <c r="C81" s="295">
        <v>32</v>
      </c>
      <c r="D81" s="296" t="str">
        <f>'Register Configuration'!I272</f>
        <v>0x00000603</v>
      </c>
      <c r="E81" s="293" t="s">
        <v>397</v>
      </c>
    </row>
    <row r="82" spans="1:7">
      <c r="A82" s="293" t="s">
        <v>284</v>
      </c>
      <c r="B82" s="296" t="str">
        <f>'Register Configuration'!H264</f>
        <v>0x3D400198</v>
      </c>
      <c r="C82" s="299">
        <v>32</v>
      </c>
      <c r="D82" s="296" t="str">
        <f>'Register Configuration'!I264</f>
        <v>0x07000000</v>
      </c>
      <c r="E82" s="297" t="s">
        <v>532</v>
      </c>
    </row>
    <row r="83" spans="1:7">
      <c r="A83" s="293" t="s">
        <v>284</v>
      </c>
      <c r="B83" s="296" t="str">
        <f>'Register Configuration'!H275</f>
        <v>0x3D4001B0</v>
      </c>
      <c r="C83" s="295">
        <v>32</v>
      </c>
      <c r="D83" s="296" t="str">
        <f>'Register Configuration'!I275</f>
        <v>0x00000011</v>
      </c>
      <c r="E83" s="293" t="s">
        <v>396</v>
      </c>
    </row>
    <row r="84" spans="1:7">
      <c r="A84" s="293" t="s">
        <v>284</v>
      </c>
      <c r="B84" s="296" t="str">
        <f>'Register Configuration'!H280</f>
        <v>0x3D4001A0</v>
      </c>
      <c r="C84" s="295">
        <v>32</v>
      </c>
      <c r="D84" s="296" t="str">
        <f>'Register Configuration'!I280</f>
        <v>0x00400018</v>
      </c>
      <c r="E84" s="293" t="s">
        <v>393</v>
      </c>
    </row>
    <row r="85" spans="1:7">
      <c r="A85" s="293" t="s">
        <v>284</v>
      </c>
      <c r="B85" s="296" t="str">
        <f>'Register Configuration'!H286</f>
        <v>0x3D4001A4</v>
      </c>
      <c r="C85" s="295">
        <v>32</v>
      </c>
      <c r="D85" s="296" t="str">
        <f>'Register Configuration'!I286</f>
        <v>0x0005003C</v>
      </c>
      <c r="E85" s="293" t="s">
        <v>394</v>
      </c>
    </row>
    <row r="86" spans="1:7">
      <c r="A86" s="293" t="s">
        <v>284</v>
      </c>
      <c r="B86" s="296" t="str">
        <f>'Register Configuration'!H289</f>
        <v>0x3D4001A8</v>
      </c>
      <c r="C86" s="295">
        <v>32</v>
      </c>
      <c r="D86" s="296" t="str">
        <f>'Register Configuration'!I289</f>
        <v>0x80000000</v>
      </c>
      <c r="E86" s="293" t="s">
        <v>395</v>
      </c>
    </row>
    <row r="87" spans="1:7" s="103" customFormat="1">
      <c r="A87" s="297"/>
      <c r="B87" s="298"/>
      <c r="C87" s="299"/>
      <c r="D87" s="298"/>
      <c r="E87" s="297"/>
    </row>
    <row r="88" spans="1:7">
      <c r="A88" s="293" t="s">
        <v>284</v>
      </c>
      <c r="B88" s="296" t="str">
        <f>'Register Configuration'!H291</f>
        <v>0x3D4001C4</v>
      </c>
      <c r="C88" s="295">
        <v>32</v>
      </c>
      <c r="D88" s="296" t="str">
        <f>'Register Configuration'!I291</f>
        <v>0x00000000</v>
      </c>
      <c r="E88" s="293" t="s">
        <v>398</v>
      </c>
    </row>
    <row r="89" spans="1:7">
      <c r="A89" s="297"/>
      <c r="B89" s="298"/>
      <c r="C89" s="299"/>
      <c r="D89" s="298"/>
      <c r="E89" s="297"/>
    </row>
    <row r="90" spans="1:7">
      <c r="A90" s="293" t="s">
        <v>284</v>
      </c>
      <c r="B90" s="296" t="str">
        <f>'Register Configuration'!H66</f>
        <v>0x3D400200</v>
      </c>
      <c r="C90" s="295">
        <v>32</v>
      </c>
      <c r="D90" s="296" t="str">
        <f>'Register Configuration'!I66</f>
        <v>0x00000016</v>
      </c>
      <c r="E90" s="293" t="s">
        <v>399</v>
      </c>
    </row>
    <row r="91" spans="1:7">
      <c r="A91" s="293" t="s">
        <v>284</v>
      </c>
      <c r="B91" s="296" t="str">
        <f>'Register Configuration'!H69</f>
        <v>0x3D400204</v>
      </c>
      <c r="C91" s="295">
        <v>32</v>
      </c>
      <c r="D91" s="296" t="str">
        <f>'Register Configuration'!I69</f>
        <v>0x00080808</v>
      </c>
      <c r="E91" s="293" t="s">
        <v>402</v>
      </c>
    </row>
    <row r="92" spans="1:7">
      <c r="A92" s="293" t="s">
        <v>284</v>
      </c>
      <c r="B92" s="296" t="str">
        <f>'Register Configuration'!H73</f>
        <v>0x3D400208</v>
      </c>
      <c r="C92" s="295">
        <v>32</v>
      </c>
      <c r="D92" s="296" t="str">
        <f>'Register Configuration'!I73</f>
        <v>0x00000000</v>
      </c>
      <c r="E92" s="293" t="s">
        <v>545</v>
      </c>
    </row>
    <row r="93" spans="1:7">
      <c r="A93" s="293" t="s">
        <v>284</v>
      </c>
      <c r="B93" s="296" t="str">
        <f>'Register Configuration'!H78</f>
        <v>0x3D40020C</v>
      </c>
      <c r="C93" s="295">
        <v>32</v>
      </c>
      <c r="D93" s="296" t="str">
        <f>'Register Configuration'!I78</f>
        <v>0x00000000</v>
      </c>
      <c r="E93" s="293" t="s">
        <v>400</v>
      </c>
    </row>
    <row r="94" spans="1:7">
      <c r="A94" s="293" t="s">
        <v>284</v>
      </c>
      <c r="B94" s="296" t="str">
        <f>'Register Configuration'!H83</f>
        <v>0x3D400210</v>
      </c>
      <c r="C94" s="295">
        <v>32</v>
      </c>
      <c r="D94" s="296" t="str">
        <f>'Register Configuration'!I83</f>
        <v>0x00001F1F</v>
      </c>
      <c r="E94" s="293" t="s">
        <v>401</v>
      </c>
      <c r="G94" s="293"/>
    </row>
    <row r="95" spans="1:7">
      <c r="A95" s="293" t="s">
        <v>284</v>
      </c>
      <c r="B95" s="296" t="str">
        <f>'Register Configuration'!H86</f>
        <v>0x3D400214</v>
      </c>
      <c r="C95" s="295">
        <v>32</v>
      </c>
      <c r="D95" s="296" t="str">
        <f>'Register Configuration'!I86</f>
        <v>0x07070707</v>
      </c>
      <c r="E95" s="293" t="s">
        <v>403</v>
      </c>
    </row>
    <row r="96" spans="1:7">
      <c r="A96" s="293" t="s">
        <v>284</v>
      </c>
      <c r="B96" s="296" t="str">
        <f>'Register Configuration'!H91</f>
        <v>0x3D400218</v>
      </c>
      <c r="C96" s="295">
        <v>32</v>
      </c>
      <c r="D96" s="296" t="str">
        <f>'Register Configuration'!I91</f>
        <v>0x0F070707</v>
      </c>
      <c r="E96" s="293" t="s">
        <v>404</v>
      </c>
    </row>
    <row r="97" spans="1:5">
      <c r="A97" s="293" t="s">
        <v>284</v>
      </c>
      <c r="B97" s="296" t="str">
        <f>'Register Configuration'!H97</f>
        <v>0x3D400224</v>
      </c>
      <c r="C97" s="295">
        <v>32</v>
      </c>
      <c r="D97" s="296" t="str">
        <f>'Register Configuration'!I97</f>
        <v>0x0A020B06</v>
      </c>
      <c r="E97" s="293" t="s">
        <v>546</v>
      </c>
    </row>
    <row r="98" spans="1:5">
      <c r="A98" s="293" t="s">
        <v>284</v>
      </c>
      <c r="B98" s="296" t="str">
        <f>'Register Configuration'!H102</f>
        <v>0x3D400228</v>
      </c>
      <c r="C98" s="295">
        <v>32</v>
      </c>
      <c r="D98" s="296" t="str">
        <f>'Register Configuration'!I102</f>
        <v>0x0A0A0A0A</v>
      </c>
      <c r="E98" s="293" t="s">
        <v>547</v>
      </c>
    </row>
    <row r="99" spans="1:5">
      <c r="A99" s="293" t="s">
        <v>284</v>
      </c>
      <c r="B99" s="296" t="str">
        <f>'Register Configuration'!H107</f>
        <v>0x3D40022C</v>
      </c>
      <c r="C99" s="295">
        <v>32</v>
      </c>
      <c r="D99" s="296" t="str">
        <f>'Register Configuration'!I107</f>
        <v>0x00000000</v>
      </c>
      <c r="E99" s="293" t="s">
        <v>548</v>
      </c>
    </row>
    <row r="100" spans="1:5" s="103" customFormat="1">
      <c r="A100" s="297"/>
      <c r="B100" s="298"/>
      <c r="C100" s="299"/>
      <c r="D100" s="298"/>
      <c r="E100" s="297"/>
    </row>
    <row r="101" spans="1:5" s="103" customFormat="1">
      <c r="A101" s="297" t="s">
        <v>284</v>
      </c>
      <c r="B101" s="296" t="str">
        <f>'Register Configuration'!H111</f>
        <v>0x3D400240</v>
      </c>
      <c r="C101" s="299">
        <v>32</v>
      </c>
      <c r="D101" s="296" t="str">
        <f>'Register Configuration'!I111</f>
        <v>0x0600060C</v>
      </c>
      <c r="E101" s="297" t="s">
        <v>581</v>
      </c>
    </row>
    <row r="102" spans="1:5">
      <c r="A102" s="293" t="s">
        <v>284</v>
      </c>
      <c r="B102" s="296" t="str">
        <f>'Register Configuration'!H196</f>
        <v>0x3D400244</v>
      </c>
      <c r="C102" s="295">
        <v>32</v>
      </c>
      <c r="D102" s="296" t="str">
        <f>'Register Configuration'!I196</f>
        <v>0x00001323</v>
      </c>
      <c r="E102" s="293" t="s">
        <v>405</v>
      </c>
    </row>
    <row r="103" spans="1:5">
      <c r="C103" s="295"/>
    </row>
    <row r="104" spans="1:5">
      <c r="A104" s="293" t="s">
        <v>284</v>
      </c>
      <c r="B104" s="294" t="s">
        <v>709</v>
      </c>
      <c r="C104" s="295">
        <v>32</v>
      </c>
      <c r="D104" s="294" t="s">
        <v>710</v>
      </c>
      <c r="E104" s="293" t="s">
        <v>711</v>
      </c>
    </row>
    <row r="105" spans="1:5">
      <c r="A105" s="293" t="s">
        <v>284</v>
      </c>
      <c r="B105" s="294" t="s">
        <v>703</v>
      </c>
      <c r="C105" s="295">
        <v>32</v>
      </c>
      <c r="D105" s="294" t="s">
        <v>704</v>
      </c>
      <c r="E105" s="293" t="s">
        <v>705</v>
      </c>
    </row>
    <row r="106" spans="1:5">
      <c r="A106" s="293" t="s">
        <v>284</v>
      </c>
      <c r="B106" s="294" t="s">
        <v>706</v>
      </c>
      <c r="C106" s="295">
        <v>32</v>
      </c>
      <c r="D106" s="294" t="s">
        <v>707</v>
      </c>
      <c r="E106" s="293" t="s">
        <v>708</v>
      </c>
    </row>
    <row r="107" spans="1:5">
      <c r="C107" s="295"/>
    </row>
    <row r="108" spans="1:5">
      <c r="A108" s="293" t="s">
        <v>288</v>
      </c>
    </row>
    <row r="109" spans="1:5">
      <c r="A109" s="293" t="s">
        <v>284</v>
      </c>
      <c r="B109" s="294" t="s">
        <v>291</v>
      </c>
      <c r="C109" s="295">
        <v>32</v>
      </c>
      <c r="D109" s="294" t="s">
        <v>292</v>
      </c>
      <c r="E109" s="293" t="s">
        <v>290</v>
      </c>
    </row>
    <row r="110" spans="1:5">
      <c r="C110" s="295"/>
    </row>
    <row r="111" spans="1:5">
      <c r="A111" s="293" t="s">
        <v>284</v>
      </c>
      <c r="B111" s="294" t="s">
        <v>286</v>
      </c>
      <c r="C111" s="295">
        <v>32</v>
      </c>
      <c r="D111" s="294" t="s">
        <v>254</v>
      </c>
      <c r="E111" s="293" t="s">
        <v>406</v>
      </c>
    </row>
    <row r="112" spans="1:5">
      <c r="A112" s="293" t="s">
        <v>284</v>
      </c>
      <c r="B112" s="294" t="s">
        <v>287</v>
      </c>
      <c r="C112" s="295">
        <v>32</v>
      </c>
      <c r="D112" s="296" t="str">
        <f>'Register Configuration'!I201</f>
        <v>0x000000A8</v>
      </c>
      <c r="E112" s="293" t="s">
        <v>407</v>
      </c>
    </row>
    <row r="113" spans="1:6">
      <c r="A113" s="293" t="s">
        <v>284</v>
      </c>
      <c r="B113" s="294" t="s">
        <v>293</v>
      </c>
      <c r="C113" s="295">
        <v>32</v>
      </c>
      <c r="D113" s="294" t="s">
        <v>254</v>
      </c>
      <c r="E113" s="293" t="s">
        <v>408</v>
      </c>
    </row>
    <row r="114" spans="1:6">
      <c r="C114" s="295"/>
    </row>
    <row r="115" spans="1:6">
      <c r="A115" s="293" t="s">
        <v>311</v>
      </c>
      <c r="B115" s="294" t="s">
        <v>712</v>
      </c>
      <c r="C115" s="295">
        <v>32</v>
      </c>
      <c r="D115" s="294" t="s">
        <v>713</v>
      </c>
      <c r="E115" s="293" t="s">
        <v>714</v>
      </c>
      <c r="F115" s="293"/>
    </row>
    <row r="116" spans="1:6">
      <c r="C116" s="295"/>
      <c r="F116" s="293"/>
    </row>
    <row r="117" spans="1:6">
      <c r="A117" s="293" t="s">
        <v>284</v>
      </c>
      <c r="B117" s="294" t="s">
        <v>291</v>
      </c>
      <c r="C117" s="295">
        <v>32</v>
      </c>
      <c r="D117" s="294" t="s">
        <v>721</v>
      </c>
      <c r="E117" s="293" t="s">
        <v>722</v>
      </c>
      <c r="F117" s="293"/>
    </row>
    <row r="118" spans="1:6">
      <c r="A118" s="293" t="s">
        <v>284</v>
      </c>
      <c r="B118" s="294" t="s">
        <v>291</v>
      </c>
      <c r="C118" s="295">
        <v>32</v>
      </c>
      <c r="D118" s="294" t="s">
        <v>292</v>
      </c>
      <c r="E118" s="293" t="s">
        <v>715</v>
      </c>
      <c r="F118" s="293"/>
    </row>
    <row r="119" spans="1:6">
      <c r="A119" s="293" t="s">
        <v>284</v>
      </c>
      <c r="B119" s="294" t="s">
        <v>293</v>
      </c>
      <c r="C119" s="295">
        <v>32</v>
      </c>
      <c r="D119" s="294" t="s">
        <v>254</v>
      </c>
      <c r="E119" s="293" t="s">
        <v>716</v>
      </c>
      <c r="F119" s="293"/>
    </row>
    <row r="120" spans="1:6">
      <c r="A120" s="293" t="s">
        <v>284</v>
      </c>
      <c r="B120" s="294" t="s">
        <v>294</v>
      </c>
      <c r="C120" s="295">
        <v>32</v>
      </c>
      <c r="D120" s="294" t="s">
        <v>254</v>
      </c>
      <c r="E120" s="293" t="s">
        <v>645</v>
      </c>
      <c r="F120" s="293"/>
    </row>
    <row r="121" spans="1:6">
      <c r="C121" s="295"/>
      <c r="F121" s="293"/>
    </row>
    <row r="122" spans="1:6">
      <c r="A122" s="293" t="s">
        <v>723</v>
      </c>
      <c r="B122" s="294" t="s">
        <v>724</v>
      </c>
      <c r="C122" s="295">
        <v>32</v>
      </c>
      <c r="D122" s="294" t="s">
        <v>725</v>
      </c>
      <c r="E122" s="293" t="s">
        <v>726</v>
      </c>
      <c r="F122" s="293"/>
    </row>
    <row r="123" spans="1:6">
      <c r="A123" s="293" t="s">
        <v>284</v>
      </c>
      <c r="B123" s="294" t="s">
        <v>717</v>
      </c>
      <c r="C123" s="295">
        <v>32</v>
      </c>
      <c r="D123" s="294" t="s">
        <v>254</v>
      </c>
      <c r="E123" s="293" t="s">
        <v>718</v>
      </c>
      <c r="F123" s="293"/>
    </row>
    <row r="124" spans="1:6">
      <c r="A124" s="293" t="s">
        <v>727</v>
      </c>
      <c r="B124" s="294" t="s">
        <v>728</v>
      </c>
      <c r="C124" s="295">
        <v>32</v>
      </c>
      <c r="D124" s="294" t="s">
        <v>729</v>
      </c>
      <c r="E124" s="293" t="s">
        <v>730</v>
      </c>
      <c r="F124" s="293"/>
    </row>
    <row r="125" spans="1:6">
      <c r="A125" s="293" t="s">
        <v>283</v>
      </c>
      <c r="B125" s="294" t="s">
        <v>287</v>
      </c>
      <c r="C125" s="295">
        <v>32</v>
      </c>
      <c r="D125" s="294" t="s">
        <v>719</v>
      </c>
      <c r="E125" s="293" t="s">
        <v>720</v>
      </c>
      <c r="F125" s="293"/>
    </row>
    <row r="126" spans="1:6">
      <c r="A126" s="293" t="s">
        <v>731</v>
      </c>
      <c r="B126" s="294" t="s">
        <v>732</v>
      </c>
      <c r="C126" s="295">
        <v>32</v>
      </c>
      <c r="D126" s="294" t="s">
        <v>734</v>
      </c>
      <c r="E126" s="293" t="s">
        <v>733</v>
      </c>
      <c r="F126" s="293"/>
    </row>
    <row r="127" spans="1:6">
      <c r="C127" s="295"/>
      <c r="F127" s="293"/>
    </row>
    <row r="128" spans="1:6">
      <c r="A128" s="293" t="s">
        <v>345</v>
      </c>
      <c r="C128" s="295"/>
      <c r="F128" s="293"/>
    </row>
    <row r="129" spans="1:6">
      <c r="A129" s="293" t="s">
        <v>344</v>
      </c>
    </row>
    <row r="130" spans="1:6">
      <c r="A130" s="293" t="s">
        <v>345</v>
      </c>
    </row>
    <row r="132" spans="1:6">
      <c r="A132" s="293" t="s">
        <v>343</v>
      </c>
      <c r="B132" s="294" t="s">
        <v>342</v>
      </c>
      <c r="D132" s="294">
        <v>1</v>
      </c>
      <c r="E132" s="294" t="s">
        <v>346</v>
      </c>
      <c r="F132" s="293"/>
    </row>
    <row r="133" spans="1:6">
      <c r="E133" s="294"/>
      <c r="F133" s="293"/>
    </row>
    <row r="134" spans="1:6">
      <c r="A134" s="293" t="s">
        <v>343</v>
      </c>
      <c r="B134" s="294" t="s">
        <v>646</v>
      </c>
      <c r="D134" s="294">
        <v>32</v>
      </c>
      <c r="E134" s="294" t="s">
        <v>647</v>
      </c>
      <c r="F134" s="293"/>
    </row>
    <row r="135" spans="1:6">
      <c r="D135" s="298"/>
      <c r="E135" s="294"/>
      <c r="F135" s="293"/>
    </row>
    <row r="136" spans="1:6">
      <c r="A136" s="293" t="s">
        <v>343</v>
      </c>
      <c r="B136" s="294" t="s">
        <v>473</v>
      </c>
      <c r="D136" s="296" t="str">
        <f>'Register Configuration'!C314</f>
        <v>0x2c</v>
      </c>
      <c r="E136" s="294" t="s">
        <v>481</v>
      </c>
      <c r="F136" s="293"/>
    </row>
    <row r="137" spans="1:6">
      <c r="D137" s="298"/>
      <c r="E137" s="294"/>
      <c r="F137" s="293"/>
    </row>
    <row r="138" spans="1:6">
      <c r="A138" s="293" t="s">
        <v>430</v>
      </c>
      <c r="D138" s="298"/>
      <c r="E138" s="294"/>
      <c r="F138" s="293"/>
    </row>
    <row r="139" spans="1:6">
      <c r="A139" s="293" t="s">
        <v>343</v>
      </c>
      <c r="B139" s="294" t="s">
        <v>431</v>
      </c>
      <c r="D139" s="296">
        <f>'Register Configuration'!C31</f>
        <v>800</v>
      </c>
    </row>
    <row r="140" spans="1:6">
      <c r="A140" s="293" t="s">
        <v>343</v>
      </c>
      <c r="B140" s="294" t="s">
        <v>432</v>
      </c>
      <c r="D140" s="298">
        <v>0</v>
      </c>
    </row>
    <row r="141" spans="1:6">
      <c r="A141" s="293" t="s">
        <v>433</v>
      </c>
      <c r="B141" s="294" t="s">
        <v>315</v>
      </c>
      <c r="C141" s="295">
        <v>32</v>
      </c>
      <c r="D141" s="298" t="s">
        <v>316</v>
      </c>
      <c r="E141" s="294" t="s">
        <v>317</v>
      </c>
      <c r="F141" s="293"/>
    </row>
    <row r="142" spans="1:6">
      <c r="A142" s="293" t="s">
        <v>433</v>
      </c>
      <c r="B142" s="294" t="s">
        <v>318</v>
      </c>
      <c r="C142" s="295">
        <v>32</v>
      </c>
      <c r="D142" s="298" t="s">
        <v>319</v>
      </c>
      <c r="E142" s="294" t="s">
        <v>320</v>
      </c>
      <c r="F142" s="293"/>
    </row>
    <row r="143" spans="1:6">
      <c r="A143" s="293" t="s">
        <v>433</v>
      </c>
      <c r="B143" s="294" t="s">
        <v>323</v>
      </c>
      <c r="C143" s="295">
        <v>32</v>
      </c>
      <c r="D143" s="298" t="s">
        <v>321</v>
      </c>
      <c r="E143" s="294" t="s">
        <v>442</v>
      </c>
      <c r="F143" s="293"/>
    </row>
    <row r="144" spans="1:6">
      <c r="A144" s="293" t="s">
        <v>434</v>
      </c>
      <c r="B144" s="294" t="s">
        <v>324</v>
      </c>
      <c r="C144" s="295">
        <v>32</v>
      </c>
      <c r="D144" s="298" t="s">
        <v>438</v>
      </c>
      <c r="E144" s="294" t="s">
        <v>326</v>
      </c>
      <c r="F144" s="293"/>
    </row>
    <row r="145" spans="1:6">
      <c r="A145" s="293" t="s">
        <v>433</v>
      </c>
      <c r="B145" s="294" t="s">
        <v>331</v>
      </c>
      <c r="C145" s="295">
        <v>32</v>
      </c>
      <c r="D145" s="296" t="str">
        <f>D42</f>
        <v>0x00bbe582</v>
      </c>
      <c r="E145" s="294" t="str">
        <f>E42</f>
        <v>#HW_DRAM_PLL_CFG2_ADDR: For 800MHz DDR speed, Configure DRAM PLL for 400MHz operation</v>
      </c>
      <c r="F145" s="293"/>
    </row>
    <row r="146" spans="1:6">
      <c r="A146" s="293" t="s">
        <v>435</v>
      </c>
      <c r="B146" s="294" t="s">
        <v>332</v>
      </c>
      <c r="C146" s="295">
        <v>32</v>
      </c>
      <c r="D146" s="298" t="s">
        <v>333</v>
      </c>
      <c r="E146" s="294" t="s">
        <v>334</v>
      </c>
      <c r="F146" s="293"/>
    </row>
    <row r="147" spans="1:6">
      <c r="A147" s="293" t="s">
        <v>434</v>
      </c>
      <c r="B147" s="294" t="s">
        <v>332</v>
      </c>
      <c r="C147" s="295">
        <v>32</v>
      </c>
      <c r="D147" s="298" t="s">
        <v>439</v>
      </c>
      <c r="E147" s="294" t="s">
        <v>335</v>
      </c>
      <c r="F147" s="293"/>
    </row>
    <row r="148" spans="1:6">
      <c r="A148" s="293" t="s">
        <v>435</v>
      </c>
      <c r="B148" s="294" t="s">
        <v>332</v>
      </c>
      <c r="C148" s="295">
        <v>32</v>
      </c>
      <c r="D148" s="298" t="s">
        <v>438</v>
      </c>
      <c r="E148" s="294" t="s">
        <v>336</v>
      </c>
      <c r="F148" s="293"/>
    </row>
    <row r="149" spans="1:6">
      <c r="A149" s="293" t="s">
        <v>435</v>
      </c>
      <c r="B149" s="294" t="s">
        <v>332</v>
      </c>
      <c r="C149" s="295">
        <v>32</v>
      </c>
      <c r="D149" s="298" t="s">
        <v>440</v>
      </c>
      <c r="E149" s="294" t="s">
        <v>337</v>
      </c>
      <c r="F149" s="293"/>
    </row>
    <row r="150" spans="1:6">
      <c r="A150" s="293" t="s">
        <v>436</v>
      </c>
      <c r="B150" s="294" t="s">
        <v>332</v>
      </c>
      <c r="C150" s="295">
        <v>32</v>
      </c>
      <c r="D150" s="298" t="s">
        <v>289</v>
      </c>
      <c r="E150" s="294" t="s">
        <v>338</v>
      </c>
      <c r="F150" s="293"/>
    </row>
    <row r="151" spans="1:6">
      <c r="A151" s="293" t="s">
        <v>433</v>
      </c>
      <c r="B151" s="294" t="s">
        <v>437</v>
      </c>
      <c r="C151" s="295">
        <v>32</v>
      </c>
      <c r="D151" s="298" t="s">
        <v>441</v>
      </c>
      <c r="E151" s="294" t="s">
        <v>443</v>
      </c>
      <c r="F151" s="293"/>
    </row>
    <row r="152" spans="1:6">
      <c r="D152" s="298"/>
      <c r="E152" s="294"/>
      <c r="F152" s="293"/>
    </row>
    <row r="153" spans="1:6">
      <c r="A153" s="293" t="s">
        <v>343</v>
      </c>
      <c r="B153" s="294" t="s">
        <v>482</v>
      </c>
      <c r="D153" s="296" t="str">
        <f>'Register Configuration'!C316</f>
        <v>0x3</v>
      </c>
      <c r="E153" s="293" t="s">
        <v>648</v>
      </c>
    </row>
    <row r="154" spans="1:6">
      <c r="E154" s="293" t="s">
        <v>649</v>
      </c>
    </row>
    <row r="155" spans="1:6">
      <c r="E155" s="293" t="s">
        <v>650</v>
      </c>
    </row>
    <row r="156" spans="1:6">
      <c r="E156" s="293" t="s">
        <v>651</v>
      </c>
    </row>
    <row r="157" spans="1:6">
      <c r="E157" s="293" t="s">
        <v>652</v>
      </c>
    </row>
    <row r="158" spans="1:6">
      <c r="E158" s="293" t="s">
        <v>738</v>
      </c>
    </row>
    <row r="160" spans="1:6">
      <c r="A160" s="293" t="s">
        <v>343</v>
      </c>
      <c r="B160" s="294" t="s">
        <v>653</v>
      </c>
      <c r="D160" s="294">
        <v>2</v>
      </c>
    </row>
    <row r="161" spans="1:5">
      <c r="A161" s="293" t="s">
        <v>343</v>
      </c>
      <c r="B161" s="294" t="s">
        <v>654</v>
      </c>
      <c r="D161" s="294">
        <v>1</v>
      </c>
    </row>
    <row r="162" spans="1:5">
      <c r="A162" s="293" t="s">
        <v>343</v>
      </c>
      <c r="B162" s="294" t="s">
        <v>655</v>
      </c>
      <c r="D162" s="294">
        <v>0</v>
      </c>
    </row>
    <row r="163" spans="1:5">
      <c r="A163" s="293" t="s">
        <v>343</v>
      </c>
      <c r="B163" s="294" t="s">
        <v>656</v>
      </c>
      <c r="D163" s="294">
        <v>0</v>
      </c>
    </row>
    <row r="165" spans="1:5">
      <c r="A165" s="293" t="s">
        <v>343</v>
      </c>
      <c r="B165" s="294" t="s">
        <v>657</v>
      </c>
      <c r="D165" s="294">
        <v>3</v>
      </c>
    </row>
    <row r="166" spans="1:5">
      <c r="A166" s="293" t="s">
        <v>343</v>
      </c>
      <c r="B166" s="294" t="s">
        <v>658</v>
      </c>
      <c r="D166" s="294">
        <v>3</v>
      </c>
    </row>
    <row r="167" spans="1:5">
      <c r="A167" s="293" t="s">
        <v>343</v>
      </c>
      <c r="B167" s="294" t="s">
        <v>659</v>
      </c>
      <c r="D167" s="294">
        <v>0</v>
      </c>
    </row>
    <row r="168" spans="1:5">
      <c r="A168" s="293" t="s">
        <v>343</v>
      </c>
      <c r="B168" s="294" t="s">
        <v>660</v>
      </c>
      <c r="D168" s="294">
        <v>0</v>
      </c>
    </row>
    <row r="170" spans="1:5">
      <c r="A170" s="293" t="s">
        <v>343</v>
      </c>
      <c r="B170" s="294" t="s">
        <v>661</v>
      </c>
      <c r="D170" s="296" t="str">
        <f>IF('Register Configuration'!G23="Enabled", "0x2", "0x0")</f>
        <v>0x2</v>
      </c>
      <c r="E170" s="293" t="s">
        <v>662</v>
      </c>
    </row>
    <row r="171" spans="1:5">
      <c r="E171" s="293" t="s">
        <v>663</v>
      </c>
    </row>
    <row r="172" spans="1:5">
      <c r="E172" s="293" t="s">
        <v>664</v>
      </c>
    </row>
    <row r="174" spans="1:5">
      <c r="A174" s="293" t="s">
        <v>343</v>
      </c>
      <c r="B174" s="294" t="s">
        <v>428</v>
      </c>
      <c r="D174" s="294">
        <v>1</v>
      </c>
      <c r="E174" s="293" t="s">
        <v>665</v>
      </c>
    </row>
    <row r="176" spans="1:5">
      <c r="A176" s="293" t="s">
        <v>379</v>
      </c>
    </row>
    <row r="177" spans="1:5">
      <c r="A177" s="293" t="s">
        <v>343</v>
      </c>
      <c r="B177" s="294" t="s">
        <v>429</v>
      </c>
      <c r="D177" s="294" t="s">
        <v>666</v>
      </c>
      <c r="E177" s="293" t="s">
        <v>347</v>
      </c>
    </row>
    <row r="179" spans="1:5">
      <c r="A179" s="293" t="s">
        <v>380</v>
      </c>
    </row>
    <row r="180" spans="1:5">
      <c r="A180" s="293" t="s">
        <v>343</v>
      </c>
      <c r="B180" s="294" t="s">
        <v>348</v>
      </c>
      <c r="D180" s="294" t="s">
        <v>349</v>
      </c>
      <c r="E180" s="293" t="s">
        <v>350</v>
      </c>
    </row>
    <row r="182" spans="1:5">
      <c r="A182" s="293" t="s">
        <v>343</v>
      </c>
      <c r="B182" s="294" t="s">
        <v>667</v>
      </c>
      <c r="D182" s="296" t="str">
        <f>'Register Configuration'!C295</f>
        <v>0x1C70</v>
      </c>
    </row>
    <row r="183" spans="1:5">
      <c r="A183" s="293" t="s">
        <v>343</v>
      </c>
      <c r="B183" s="294" t="s">
        <v>362</v>
      </c>
      <c r="D183" s="296" t="str">
        <f>'Register Configuration'!C296</f>
        <v>0x0004</v>
      </c>
    </row>
    <row r="184" spans="1:5">
      <c r="A184" s="293" t="s">
        <v>343</v>
      </c>
      <c r="B184" s="294" t="s">
        <v>363</v>
      </c>
      <c r="D184" s="296" t="str">
        <f>'Register Configuration'!C297</f>
        <v>0x0018</v>
      </c>
    </row>
    <row r="186" spans="1:5">
      <c r="A186" s="293" t="s">
        <v>343</v>
      </c>
      <c r="B186" s="294" t="s">
        <v>352</v>
      </c>
      <c r="D186" s="296">
        <f>'Register Configuration'!G17</f>
        <v>40</v>
      </c>
    </row>
    <row r="187" spans="1:5">
      <c r="A187" s="293" t="s">
        <v>343</v>
      </c>
      <c r="B187" s="294" t="s">
        <v>353</v>
      </c>
      <c r="D187" s="296">
        <f>'Register Configuration'!G19</f>
        <v>60</v>
      </c>
    </row>
    <row r="188" spans="1:5">
      <c r="A188" s="293" t="s">
        <v>343</v>
      </c>
      <c r="B188" s="294" t="s">
        <v>668</v>
      </c>
      <c r="D188" s="296">
        <f>'Register Configuration'!G21</f>
        <v>40</v>
      </c>
    </row>
    <row r="190" spans="1:5">
      <c r="A190" s="293" t="s">
        <v>343</v>
      </c>
      <c r="B190" s="294" t="s">
        <v>669</v>
      </c>
      <c r="D190" s="296" t="str">
        <f>'Register Configuration'!C303</f>
        <v>0x00</v>
      </c>
    </row>
    <row r="191" spans="1:5">
      <c r="A191" s="293" t="s">
        <v>343</v>
      </c>
      <c r="B191" s="294" t="s">
        <v>670</v>
      </c>
      <c r="D191" s="296" t="str">
        <f>'Register Configuration'!C304</f>
        <v>0x00</v>
      </c>
    </row>
    <row r="193" spans="1:4">
      <c r="A193" s="293" t="s">
        <v>343</v>
      </c>
      <c r="B193" s="294" t="s">
        <v>671</v>
      </c>
      <c r="D193" s="296" t="str">
        <f>'Register Configuration'!C306</f>
        <v>0x0f</v>
      </c>
    </row>
    <row r="194" spans="1:4">
      <c r="A194" s="293" t="s">
        <v>343</v>
      </c>
      <c r="B194" s="294" t="s">
        <v>672</v>
      </c>
      <c r="D194" s="296" t="str">
        <f>'Register Configuration'!C307</f>
        <v>0x0f</v>
      </c>
    </row>
    <row r="195" spans="1:4">
      <c r="A195" s="293" t="s">
        <v>343</v>
      </c>
      <c r="B195" s="294" t="s">
        <v>673</v>
      </c>
      <c r="D195" s="296" t="str">
        <f>'Register Configuration'!C308</f>
        <v>0x0f</v>
      </c>
    </row>
    <row r="196" spans="1:4">
      <c r="A196" s="293" t="s">
        <v>343</v>
      </c>
      <c r="B196" s="294" t="s">
        <v>674</v>
      </c>
      <c r="D196" s="296" t="str">
        <f>'Register Configuration'!C309</f>
        <v>0x0f</v>
      </c>
    </row>
    <row r="198" spans="1:4">
      <c r="A198" s="293" t="s">
        <v>343</v>
      </c>
      <c r="B198" s="294" t="s">
        <v>358</v>
      </c>
      <c r="D198" s="296" t="str">
        <f>'Register Configuration'!C311</f>
        <v>0x09</v>
      </c>
    </row>
    <row r="199" spans="1:4">
      <c r="A199" s="293" t="s">
        <v>343</v>
      </c>
      <c r="B199" s="294" t="s">
        <v>675</v>
      </c>
      <c r="D199" s="296" t="str">
        <f>'Register Configuration'!C312</f>
        <v>0x00</v>
      </c>
    </row>
  </sheetData>
  <dataConsolidate/>
  <phoneticPr fontId="2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How To Use</vt:lpstr>
      <vt:lpstr>Revision History</vt:lpstr>
      <vt:lpstr>Register Configuration</vt:lpstr>
      <vt:lpstr>DDR stress test file</vt:lpstr>
      <vt:lpstr>BusWidth</vt:lpstr>
      <vt:lpstr>DDRTypes</vt:lpstr>
      <vt:lpstr>'Register Configuration'!Print_Area</vt:lpstr>
      <vt:lpstr>RowBankInterleavingOption</vt:lpstr>
    </vt:vector>
  </TitlesOfParts>
  <Company>Freescale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ra7694</dc:creator>
  <cp:lastModifiedBy>Jan Spurek</cp:lastModifiedBy>
  <cp:lastPrinted>2019-05-16T16:52:45Z</cp:lastPrinted>
  <dcterms:created xsi:type="dcterms:W3CDTF">2008-07-23T13:35:02Z</dcterms:created>
  <dcterms:modified xsi:type="dcterms:W3CDTF">2022-11-15T13:07:48Z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